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2585" yWindow="-15" windowWidth="12630" windowHeight="12990" tabRatio="852"/>
  </bookViews>
  <sheets>
    <sheet name="Worksheet Descriptions" sheetId="18" r:id="rId1"/>
    <sheet name="1. FY16-18 Programs" sheetId="19" r:id="rId2"/>
    <sheet name="2. FY16 Final Budget 18.77.5" sheetId="3" r:id="rId3"/>
    <sheet name="3. FY17 Final Budget 18.77.5" sheetId="2" r:id="rId4"/>
    <sheet name="4. FY18 Budget 18.77.5" sheetId="12" r:id="rId5"/>
    <sheet name="5. FY16-18 Science Budget" sheetId="20" r:id="rId6"/>
    <sheet name="6. FY16-18 Habitat Budget" sheetId="13" r:id="rId7"/>
    <sheet name="7. Budget &amp; Percentage Rates" sheetId="17" r:id="rId8"/>
    <sheet name="8. Examples Science Projects" sheetId="14" r:id="rId9"/>
  </sheets>
  <calcPr calcId="145621"/>
</workbook>
</file>

<file path=xl/calcChain.xml><?xml version="1.0" encoding="utf-8"?>
<calcChain xmlns="http://schemas.openxmlformats.org/spreadsheetml/2006/main">
  <c r="C18" i="19" l="1"/>
  <c r="C28" i="19" s="1"/>
  <c r="D18" i="19"/>
  <c r="D28" i="19" s="1"/>
  <c r="B18" i="19"/>
  <c r="B28" i="19" s="1"/>
  <c r="C31" i="19"/>
  <c r="D31" i="19"/>
  <c r="B31" i="19"/>
  <c r="C30" i="19"/>
  <c r="D30" i="19"/>
  <c r="B30" i="19"/>
  <c r="C29" i="19"/>
  <c r="D29" i="19"/>
  <c r="B29" i="19"/>
  <c r="Q145" i="12"/>
  <c r="P145" i="12"/>
  <c r="O145" i="12"/>
  <c r="Q142" i="2"/>
  <c r="P142" i="2"/>
  <c r="O142" i="2"/>
  <c r="Q140" i="3"/>
  <c r="P140" i="3"/>
  <c r="O140" i="3"/>
  <c r="N142" i="3" l="1"/>
  <c r="M142" i="3"/>
  <c r="L142" i="3"/>
  <c r="K142" i="3"/>
  <c r="J142" i="3"/>
  <c r="I142" i="3"/>
  <c r="P32" i="13"/>
  <c r="F5" i="14" l="1"/>
  <c r="C9" i="14"/>
  <c r="C13" i="14" s="1"/>
  <c r="D9" i="14"/>
  <c r="D13" i="14" s="1"/>
  <c r="B9" i="14"/>
  <c r="B18" i="14" s="1"/>
  <c r="D15" i="14" l="1"/>
  <c r="B17" i="14"/>
  <c r="B16" i="14"/>
  <c r="B15" i="14"/>
  <c r="D16" i="14"/>
  <c r="C16" i="14"/>
  <c r="C15" i="14"/>
  <c r="B14" i="14"/>
  <c r="D18" i="14"/>
  <c r="D14" i="14"/>
  <c r="C18" i="14"/>
  <c r="C14" i="14"/>
  <c r="B13" i="14"/>
  <c r="D17" i="14"/>
  <c r="C17" i="14"/>
  <c r="Y29" i="20"/>
  <c r="Y30" i="20"/>
  <c r="Y31" i="20"/>
  <c r="Y27" i="20"/>
  <c r="AA9" i="20"/>
  <c r="AA27" i="20" s="1"/>
  <c r="AA13" i="20"/>
  <c r="AA12" i="20"/>
  <c r="AA30" i="20" s="1"/>
  <c r="AA11" i="20"/>
  <c r="AA29" i="20" s="1"/>
  <c r="Y10" i="20"/>
  <c r="AA10" i="20" s="1"/>
  <c r="AA28" i="20" s="1"/>
  <c r="X14" i="20"/>
  <c r="Z14" i="20"/>
  <c r="O28" i="20"/>
  <c r="O29" i="20"/>
  <c r="O30" i="20"/>
  <c r="O31" i="20"/>
  <c r="O27" i="20"/>
  <c r="Q13" i="20"/>
  <c r="Q31" i="20" s="1"/>
  <c r="Q12" i="20"/>
  <c r="Q30" i="20" s="1"/>
  <c r="Q11" i="20"/>
  <c r="Q29" i="20" s="1"/>
  <c r="Q10" i="20"/>
  <c r="Q28" i="20" s="1"/>
  <c r="Q9" i="20"/>
  <c r="N14" i="20"/>
  <c r="O14" i="20"/>
  <c r="P14" i="20"/>
  <c r="G24" i="20"/>
  <c r="G25" i="20"/>
  <c r="E24" i="20"/>
  <c r="E25" i="20"/>
  <c r="E23" i="20"/>
  <c r="D12" i="20"/>
  <c r="E12" i="20"/>
  <c r="F12" i="20"/>
  <c r="G9" i="20"/>
  <c r="G23" i="20" s="1"/>
  <c r="C2" i="19" l="1"/>
  <c r="C19" i="14"/>
  <c r="D19" i="14"/>
  <c r="AA14" i="20"/>
  <c r="D4" i="19" s="1"/>
  <c r="D27" i="19" s="1"/>
  <c r="AA31" i="20"/>
  <c r="AA32" i="20" s="1"/>
  <c r="Y14" i="20"/>
  <c r="D2" i="19" s="1"/>
  <c r="G5" i="14"/>
  <c r="Y28" i="20"/>
  <c r="Y32" i="20" s="1"/>
  <c r="G12" i="20"/>
  <c r="O32" i="20"/>
  <c r="Q27" i="20"/>
  <c r="E26" i="20"/>
  <c r="Q14" i="20"/>
  <c r="G2" i="12"/>
  <c r="F2" i="12"/>
  <c r="F13" i="12"/>
  <c r="G2" i="3"/>
  <c r="F2" i="3"/>
  <c r="G2" i="2"/>
  <c r="F2" i="2"/>
  <c r="F13" i="2"/>
  <c r="G13" i="2"/>
  <c r="F13" i="3"/>
  <c r="G13" i="3"/>
  <c r="D32" i="19" l="1"/>
  <c r="Q32" i="20"/>
  <c r="C4" i="19"/>
  <c r="C27" i="19" s="1"/>
  <c r="G26" i="20"/>
  <c r="B4" i="19"/>
  <c r="B27" i="19" s="1"/>
  <c r="C22" i="19"/>
  <c r="D22" i="19"/>
  <c r="E25" i="19" s="1"/>
  <c r="E4" i="19" s="1"/>
  <c r="B22" i="19"/>
  <c r="C11" i="19"/>
  <c r="D11" i="19"/>
  <c r="B11" i="19"/>
  <c r="C32" i="19" l="1"/>
  <c r="I29" i="19"/>
  <c r="I32" i="19"/>
  <c r="I30" i="19"/>
  <c r="I28" i="19"/>
  <c r="I31" i="19"/>
  <c r="I27" i="19"/>
  <c r="B32" i="19"/>
  <c r="E5" i="19"/>
  <c r="K4" i="19"/>
  <c r="K24" i="19"/>
  <c r="E36" i="17"/>
  <c r="E35" i="17"/>
  <c r="E34" i="17"/>
  <c r="E33" i="17"/>
  <c r="E32" i="17"/>
  <c r="E31" i="17"/>
  <c r="J26" i="17"/>
  <c r="E24" i="17"/>
  <c r="E23" i="17"/>
  <c r="E22" i="17"/>
  <c r="E21" i="17"/>
  <c r="E20" i="17"/>
  <c r="E19" i="17"/>
  <c r="L14" i="17"/>
  <c r="M14" i="17" s="1"/>
  <c r="H14" i="17"/>
  <c r="I14" i="17" s="1"/>
  <c r="F14" i="17"/>
  <c r="G14" i="17" s="1"/>
  <c r="D14" i="17"/>
  <c r="E14" i="17" s="1"/>
  <c r="B14" i="17"/>
  <c r="N13" i="17"/>
  <c r="J13" i="17"/>
  <c r="H13" i="17"/>
  <c r="F13" i="17"/>
  <c r="D13" i="17"/>
  <c r="J12" i="17"/>
  <c r="H12" i="17"/>
  <c r="F12" i="17"/>
  <c r="D12" i="17"/>
  <c r="D8" i="17"/>
  <c r="B7" i="17"/>
  <c r="D7" i="17" s="1"/>
  <c r="B6" i="17"/>
  <c r="B12" i="17" s="1"/>
  <c r="O12" i="17" s="1"/>
  <c r="G30" i="19" l="1"/>
  <c r="G28" i="19"/>
  <c r="G31" i="19"/>
  <c r="G29" i="19"/>
  <c r="G32" i="19"/>
  <c r="H32" i="19"/>
  <c r="H30" i="19"/>
  <c r="H28" i="19"/>
  <c r="H31" i="19"/>
  <c r="H29" i="19"/>
  <c r="G27" i="19"/>
  <c r="H27" i="19"/>
  <c r="E12" i="17"/>
  <c r="B13" i="17"/>
  <c r="M13" i="17" s="1"/>
  <c r="G12" i="17"/>
  <c r="N14" i="17"/>
  <c r="O14" i="17" s="1"/>
  <c r="I12" i="17"/>
  <c r="E25" i="17"/>
  <c r="D6" i="17"/>
  <c r="K12" i="17"/>
  <c r="J14" i="17"/>
  <c r="K14" i="17" s="1"/>
  <c r="K3" i="19"/>
  <c r="K5" i="19"/>
  <c r="K2" i="19"/>
  <c r="C12" i="17"/>
  <c r="C13" i="17"/>
  <c r="M12" i="17"/>
  <c r="E13" i="17" l="1"/>
  <c r="E15" i="17"/>
  <c r="I13" i="17"/>
  <c r="G13" i="17"/>
  <c r="G15" i="17" s="1"/>
  <c r="M15" i="17"/>
  <c r="K15" i="17"/>
  <c r="I15" i="17"/>
  <c r="K13" i="17"/>
  <c r="O13" i="17"/>
  <c r="O15" i="17" s="1"/>
  <c r="I22" i="13"/>
  <c r="F18" i="13"/>
  <c r="G3" i="14" l="1"/>
  <c r="G6" i="14"/>
  <c r="G4" i="14"/>
  <c r="F6" i="14" l="1"/>
  <c r="B19" i="14" l="1"/>
  <c r="H33" i="13" l="1"/>
  <c r="H32" i="13"/>
  <c r="H31" i="13"/>
  <c r="B33" i="13"/>
  <c r="L33" i="13" s="1"/>
  <c r="B32" i="13"/>
  <c r="L32" i="13" s="1"/>
  <c r="B31" i="13"/>
  <c r="L31" i="13" s="1"/>
  <c r="B2" i="19" s="1"/>
  <c r="N6" i="13"/>
  <c r="N7" i="13"/>
  <c r="N8" i="13"/>
  <c r="C18" i="13"/>
  <c r="P6" i="13" s="1"/>
  <c r="P7" i="13"/>
  <c r="I18" i="13"/>
  <c r="P8" i="13" s="1"/>
  <c r="E21" i="13"/>
  <c r="J21" i="13"/>
  <c r="E22" i="13"/>
  <c r="J22" i="13"/>
  <c r="E23" i="13"/>
  <c r="J23" i="13"/>
  <c r="J24" i="13"/>
  <c r="H25" i="13"/>
  <c r="I25" i="13"/>
  <c r="M25" i="13"/>
  <c r="N25" i="13"/>
  <c r="O25" i="13"/>
  <c r="O8" i="13" s="1"/>
  <c r="M31" i="13" l="1"/>
  <c r="M33" i="13"/>
  <c r="M32" i="13"/>
  <c r="J25" i="13"/>
  <c r="O7" i="13" s="1"/>
  <c r="E25" i="13"/>
  <c r="O6" i="13" s="1"/>
  <c r="Q8" i="13"/>
  <c r="H17" i="2"/>
  <c r="Q7" i="13" l="1"/>
  <c r="Q6" i="13"/>
  <c r="F127" i="2"/>
  <c r="F132" i="2"/>
  <c r="B83" i="12" l="1"/>
  <c r="B82" i="2"/>
  <c r="B81" i="3"/>
  <c r="C81" i="3" l="1"/>
  <c r="D81" i="3" s="1"/>
  <c r="B10" i="12"/>
  <c r="G35" i="12"/>
  <c r="L140" i="12"/>
  <c r="I140" i="12"/>
  <c r="H140" i="12"/>
  <c r="O140" i="12" s="1"/>
  <c r="C140" i="12"/>
  <c r="L138" i="12"/>
  <c r="I138" i="12"/>
  <c r="H138" i="12"/>
  <c r="O138" i="12" s="1"/>
  <c r="C138" i="12"/>
  <c r="L136" i="12"/>
  <c r="I136" i="12"/>
  <c r="H136" i="12"/>
  <c r="C136" i="12"/>
  <c r="M136" i="12" s="1"/>
  <c r="L135" i="12"/>
  <c r="I135" i="12"/>
  <c r="H135" i="12"/>
  <c r="C135" i="12"/>
  <c r="M135" i="12" s="1"/>
  <c r="G134" i="12"/>
  <c r="F134" i="12"/>
  <c r="B134" i="12"/>
  <c r="M132" i="12"/>
  <c r="L132" i="12"/>
  <c r="J132" i="12"/>
  <c r="I132" i="12"/>
  <c r="H132" i="12"/>
  <c r="P132" i="12" s="1"/>
  <c r="D132" i="12"/>
  <c r="L130" i="12"/>
  <c r="L129" i="12" s="1"/>
  <c r="I130" i="12"/>
  <c r="I129" i="12" s="1"/>
  <c r="H130" i="12"/>
  <c r="H129" i="12" s="1"/>
  <c r="C130" i="12"/>
  <c r="M130" i="12" s="1"/>
  <c r="G129" i="12"/>
  <c r="F129" i="12"/>
  <c r="B129" i="12"/>
  <c r="L126" i="12"/>
  <c r="I126" i="12"/>
  <c r="H126" i="12"/>
  <c r="O126" i="12" s="1"/>
  <c r="C126" i="12"/>
  <c r="L124" i="12"/>
  <c r="I124" i="12"/>
  <c r="H124" i="12"/>
  <c r="O124" i="12" s="1"/>
  <c r="C124" i="12"/>
  <c r="L122" i="12"/>
  <c r="I122" i="12"/>
  <c r="H122" i="12"/>
  <c r="O122" i="12" s="1"/>
  <c r="C122" i="12"/>
  <c r="M120" i="12"/>
  <c r="L120" i="12"/>
  <c r="J120" i="12"/>
  <c r="I120" i="12"/>
  <c r="H120" i="12"/>
  <c r="P120" i="12" s="1"/>
  <c r="D120" i="12"/>
  <c r="L118" i="12"/>
  <c r="I118" i="12"/>
  <c r="H118" i="12"/>
  <c r="C118" i="12"/>
  <c r="M118" i="12" s="1"/>
  <c r="L117" i="12"/>
  <c r="I117" i="12"/>
  <c r="H117" i="12"/>
  <c r="C117" i="12"/>
  <c r="M117" i="12" s="1"/>
  <c r="L116" i="12"/>
  <c r="I116" i="12"/>
  <c r="H116" i="12"/>
  <c r="C116" i="12"/>
  <c r="M116" i="12" s="1"/>
  <c r="L115" i="12"/>
  <c r="I115" i="12"/>
  <c r="H115" i="12"/>
  <c r="C115" i="12"/>
  <c r="M115" i="12" s="1"/>
  <c r="G114" i="12"/>
  <c r="F114" i="12"/>
  <c r="B114" i="12"/>
  <c r="B113" i="12"/>
  <c r="L111" i="12"/>
  <c r="I111" i="12"/>
  <c r="H111" i="12"/>
  <c r="O111" i="12" s="1"/>
  <c r="C111" i="12"/>
  <c r="P111" i="12" s="1"/>
  <c r="Q111" i="12" s="1"/>
  <c r="L109" i="12"/>
  <c r="I109" i="12"/>
  <c r="H109" i="12"/>
  <c r="O109" i="12" s="1"/>
  <c r="C109" i="12"/>
  <c r="P109" i="12" s="1"/>
  <c r="Q109" i="12" s="1"/>
  <c r="L107" i="12"/>
  <c r="I107" i="12"/>
  <c r="H107" i="12"/>
  <c r="O107" i="12" s="1"/>
  <c r="C107" i="12"/>
  <c r="P107" i="12" s="1"/>
  <c r="Q107" i="12" s="1"/>
  <c r="L105" i="12"/>
  <c r="L104" i="12" s="1"/>
  <c r="I105" i="12"/>
  <c r="H105" i="12"/>
  <c r="C105" i="12"/>
  <c r="M105" i="12" s="1"/>
  <c r="G104" i="12"/>
  <c r="F104" i="12"/>
  <c r="B104" i="12"/>
  <c r="C104" i="12" s="1"/>
  <c r="D104" i="12" s="1"/>
  <c r="L102" i="12"/>
  <c r="I102" i="12"/>
  <c r="H102" i="12"/>
  <c r="C102" i="12"/>
  <c r="M102" i="12" s="1"/>
  <c r="L101" i="12"/>
  <c r="I101" i="12"/>
  <c r="H101" i="12"/>
  <c r="C101" i="12"/>
  <c r="M101" i="12" s="1"/>
  <c r="L100" i="12"/>
  <c r="I100" i="12"/>
  <c r="H100" i="12"/>
  <c r="C100" i="12"/>
  <c r="M100" i="12" s="1"/>
  <c r="L99" i="12"/>
  <c r="I99" i="12"/>
  <c r="H99" i="12"/>
  <c r="C99" i="12"/>
  <c r="M99" i="12" s="1"/>
  <c r="L98" i="12"/>
  <c r="I98" i="12"/>
  <c r="H98" i="12"/>
  <c r="C98" i="12"/>
  <c r="M98" i="12" s="1"/>
  <c r="L97" i="12"/>
  <c r="I97" i="12"/>
  <c r="H97" i="12"/>
  <c r="C97" i="12"/>
  <c r="M97" i="12" s="1"/>
  <c r="G96" i="12"/>
  <c r="F96" i="12"/>
  <c r="B96" i="12"/>
  <c r="G95" i="12"/>
  <c r="F95" i="12"/>
  <c r="L93" i="12"/>
  <c r="I93" i="12"/>
  <c r="H93" i="12"/>
  <c r="O93" i="12" s="1"/>
  <c r="C93" i="12"/>
  <c r="L91" i="12"/>
  <c r="I91" i="12"/>
  <c r="H91" i="12"/>
  <c r="O91" i="12" s="1"/>
  <c r="C91" i="12"/>
  <c r="L89" i="12"/>
  <c r="I89" i="12"/>
  <c r="H89" i="12"/>
  <c r="C89" i="12"/>
  <c r="M89" i="12" s="1"/>
  <c r="L88" i="12"/>
  <c r="I88" i="12"/>
  <c r="C88" i="12"/>
  <c r="L87" i="12"/>
  <c r="I87" i="12"/>
  <c r="H87" i="12"/>
  <c r="C87" i="12"/>
  <c r="M87" i="12" s="1"/>
  <c r="L86" i="12"/>
  <c r="I86" i="12"/>
  <c r="H86" i="12"/>
  <c r="C86" i="12"/>
  <c r="M86" i="12" s="1"/>
  <c r="L85" i="12"/>
  <c r="I85" i="12"/>
  <c r="H85" i="12"/>
  <c r="C85" i="12"/>
  <c r="M85" i="12" s="1"/>
  <c r="L84" i="12"/>
  <c r="I84" i="12"/>
  <c r="H84" i="12"/>
  <c r="C84" i="12"/>
  <c r="M84" i="12" s="1"/>
  <c r="F83" i="12"/>
  <c r="L81" i="12"/>
  <c r="I81" i="12"/>
  <c r="H81" i="12"/>
  <c r="O81" i="12" s="1"/>
  <c r="C81" i="12"/>
  <c r="L79" i="12"/>
  <c r="I79" i="12"/>
  <c r="H79" i="12"/>
  <c r="C79" i="12"/>
  <c r="M79" i="12" s="1"/>
  <c r="L78" i="12"/>
  <c r="I78" i="12"/>
  <c r="H78" i="12"/>
  <c r="C78" i="12"/>
  <c r="M78" i="12" s="1"/>
  <c r="L77" i="12"/>
  <c r="I77" i="12"/>
  <c r="H77" i="12"/>
  <c r="C77" i="12"/>
  <c r="M77" i="12" s="1"/>
  <c r="F76" i="12"/>
  <c r="H76" i="12" s="1"/>
  <c r="B76" i="12"/>
  <c r="B75" i="12" s="1"/>
  <c r="G75" i="12"/>
  <c r="F75" i="12"/>
  <c r="I73" i="12"/>
  <c r="H73" i="12"/>
  <c r="O73" i="12" s="1"/>
  <c r="C73" i="12"/>
  <c r="L72" i="12"/>
  <c r="I72" i="12"/>
  <c r="H72" i="12"/>
  <c r="O72" i="12" s="1"/>
  <c r="C72" i="12"/>
  <c r="L71" i="12"/>
  <c r="I71" i="12"/>
  <c r="H71" i="12"/>
  <c r="O71" i="12" s="1"/>
  <c r="C71" i="12"/>
  <c r="L70" i="12"/>
  <c r="I70" i="12"/>
  <c r="H70" i="12"/>
  <c r="O70" i="12" s="1"/>
  <c r="C70" i="12"/>
  <c r="L69" i="12"/>
  <c r="I69" i="12"/>
  <c r="H69" i="12"/>
  <c r="O69" i="12" s="1"/>
  <c r="C69" i="12"/>
  <c r="G68" i="12"/>
  <c r="F68" i="12"/>
  <c r="B68" i="12"/>
  <c r="I66" i="12"/>
  <c r="G66" i="12"/>
  <c r="C66" i="12"/>
  <c r="I64" i="12"/>
  <c r="I63" i="12" s="1"/>
  <c r="G64" i="12"/>
  <c r="G63" i="12" s="1"/>
  <c r="C64" i="12"/>
  <c r="J64" i="12" s="1"/>
  <c r="J63" i="12" s="1"/>
  <c r="F63" i="12"/>
  <c r="B63" i="12"/>
  <c r="C63" i="12" s="1"/>
  <c r="D63" i="12" s="1"/>
  <c r="I61" i="12"/>
  <c r="G61" i="12"/>
  <c r="C61" i="12"/>
  <c r="J61" i="12" s="1"/>
  <c r="I60" i="12"/>
  <c r="G60" i="12"/>
  <c r="C60" i="12"/>
  <c r="J60" i="12" s="1"/>
  <c r="I59" i="12"/>
  <c r="G59" i="12"/>
  <c r="C59" i="12"/>
  <c r="J59" i="12" s="1"/>
  <c r="I58" i="12"/>
  <c r="G58" i="12"/>
  <c r="C58" i="12"/>
  <c r="J58" i="12" s="1"/>
  <c r="F57" i="12"/>
  <c r="B57" i="12"/>
  <c r="I55" i="12"/>
  <c r="G55" i="12"/>
  <c r="C55" i="12"/>
  <c r="J55" i="12" s="1"/>
  <c r="I54" i="12"/>
  <c r="G54" i="12"/>
  <c r="C54" i="12"/>
  <c r="J54" i="12" s="1"/>
  <c r="I53" i="12"/>
  <c r="G53" i="12"/>
  <c r="C53" i="12"/>
  <c r="J53" i="12" s="1"/>
  <c r="F52" i="12"/>
  <c r="B52" i="12"/>
  <c r="I50" i="12"/>
  <c r="G50" i="12"/>
  <c r="C50" i="12"/>
  <c r="F49" i="12"/>
  <c r="L47" i="12"/>
  <c r="I47" i="12"/>
  <c r="H47" i="12"/>
  <c r="O47" i="12" s="1"/>
  <c r="C47" i="12"/>
  <c r="L45" i="12"/>
  <c r="L44" i="12" s="1"/>
  <c r="I45" i="12"/>
  <c r="I44" i="12" s="1"/>
  <c r="H45" i="12"/>
  <c r="C45" i="12"/>
  <c r="M45" i="12" s="1"/>
  <c r="G44" i="12"/>
  <c r="F44" i="12"/>
  <c r="B44" i="12"/>
  <c r="C44" i="12" s="1"/>
  <c r="D44" i="12" s="1"/>
  <c r="L42" i="12"/>
  <c r="I42" i="12"/>
  <c r="H42" i="12"/>
  <c r="C42" i="12"/>
  <c r="M42" i="12" s="1"/>
  <c r="L41" i="12"/>
  <c r="I41" i="12"/>
  <c r="H41" i="12"/>
  <c r="C41" i="12"/>
  <c r="M41" i="12" s="1"/>
  <c r="G40" i="12"/>
  <c r="F40" i="12"/>
  <c r="B40" i="12"/>
  <c r="C40" i="12" s="1"/>
  <c r="D40" i="12" s="1"/>
  <c r="I38" i="12"/>
  <c r="H38" i="12"/>
  <c r="O38" i="12" s="1"/>
  <c r="C38" i="12"/>
  <c r="L36" i="12"/>
  <c r="I36" i="12"/>
  <c r="H36" i="12"/>
  <c r="O36" i="12" s="1"/>
  <c r="C36" i="12"/>
  <c r="F35" i="12"/>
  <c r="I33" i="12"/>
  <c r="H33" i="12"/>
  <c r="O33" i="12" s="1"/>
  <c r="C33" i="12"/>
  <c r="L31" i="12"/>
  <c r="I31" i="12"/>
  <c r="H31" i="12"/>
  <c r="C31" i="12"/>
  <c r="M31" i="12" s="1"/>
  <c r="L30" i="12"/>
  <c r="I30" i="12"/>
  <c r="H30" i="12"/>
  <c r="C30" i="12"/>
  <c r="M30" i="12" s="1"/>
  <c r="L29" i="12"/>
  <c r="I29" i="12"/>
  <c r="H29" i="12"/>
  <c r="C29" i="12"/>
  <c r="M29" i="12" s="1"/>
  <c r="L28" i="12"/>
  <c r="I28" i="12"/>
  <c r="H28" i="12"/>
  <c r="C28" i="12"/>
  <c r="M28" i="12" s="1"/>
  <c r="G27" i="12"/>
  <c r="F27" i="12"/>
  <c r="B27" i="12"/>
  <c r="C27" i="12" s="1"/>
  <c r="D27" i="12" s="1"/>
  <c r="L25" i="12"/>
  <c r="I25" i="12"/>
  <c r="H25" i="12"/>
  <c r="C25" i="12"/>
  <c r="M25" i="12" s="1"/>
  <c r="L24" i="12"/>
  <c r="I24" i="12"/>
  <c r="H24" i="12"/>
  <c r="C24" i="12"/>
  <c r="M24" i="12" s="1"/>
  <c r="L23" i="12"/>
  <c r="I23" i="12"/>
  <c r="H23" i="12"/>
  <c r="C23" i="12"/>
  <c r="M23" i="12" s="1"/>
  <c r="L22" i="12"/>
  <c r="I22" i="12"/>
  <c r="H22" i="12"/>
  <c r="C22" i="12"/>
  <c r="M22" i="12" s="1"/>
  <c r="L21" i="12"/>
  <c r="I21" i="12"/>
  <c r="H21" i="12"/>
  <c r="C21" i="12"/>
  <c r="M21" i="12" s="1"/>
  <c r="L20" i="12"/>
  <c r="I20" i="12"/>
  <c r="H20" i="12"/>
  <c r="C20" i="12"/>
  <c r="M20" i="12" s="1"/>
  <c r="L19" i="12"/>
  <c r="I19" i="12"/>
  <c r="H19" i="12"/>
  <c r="C19" i="12"/>
  <c r="M19" i="12" s="1"/>
  <c r="L18" i="12"/>
  <c r="I18" i="12"/>
  <c r="H18" i="12"/>
  <c r="C18" i="12"/>
  <c r="M18" i="12" s="1"/>
  <c r="L17" i="12"/>
  <c r="I17" i="12"/>
  <c r="H17" i="12"/>
  <c r="C17" i="12"/>
  <c r="M17" i="12" s="1"/>
  <c r="L16" i="12"/>
  <c r="I16" i="12"/>
  <c r="H16" i="12"/>
  <c r="C16" i="12"/>
  <c r="M16" i="12" s="1"/>
  <c r="L15" i="12"/>
  <c r="I15" i="12"/>
  <c r="H15" i="12"/>
  <c r="C15" i="12"/>
  <c r="M15" i="12" s="1"/>
  <c r="I14" i="12"/>
  <c r="G14" i="12"/>
  <c r="G13" i="12" s="1"/>
  <c r="C14" i="12"/>
  <c r="J14" i="12" s="1"/>
  <c r="B13" i="12"/>
  <c r="C13" i="12" s="1"/>
  <c r="D13" i="12" s="1"/>
  <c r="L11" i="12"/>
  <c r="L10" i="12" s="1"/>
  <c r="I11" i="12"/>
  <c r="H11" i="12"/>
  <c r="C11" i="12"/>
  <c r="M11" i="12" s="1"/>
  <c r="G10" i="12"/>
  <c r="F10" i="12"/>
  <c r="C10" i="12"/>
  <c r="D10" i="12" s="1"/>
  <c r="L7" i="12"/>
  <c r="I7" i="12"/>
  <c r="H7" i="12"/>
  <c r="C7" i="12"/>
  <c r="M7" i="12" s="1"/>
  <c r="L6" i="12"/>
  <c r="I6" i="12"/>
  <c r="H6" i="12"/>
  <c r="C6" i="12"/>
  <c r="M6" i="12" s="1"/>
  <c r="L5" i="12"/>
  <c r="I5" i="12"/>
  <c r="H5" i="12"/>
  <c r="C5" i="12"/>
  <c r="M5" i="12" s="1"/>
  <c r="L4" i="12"/>
  <c r="I4" i="12"/>
  <c r="H4" i="12"/>
  <c r="C4" i="12"/>
  <c r="M4" i="12" s="1"/>
  <c r="G3" i="12"/>
  <c r="L3" i="12" s="1"/>
  <c r="F3" i="12"/>
  <c r="I3" i="12" s="1"/>
  <c r="L114" i="12" l="1"/>
  <c r="N79" i="12"/>
  <c r="P47" i="12"/>
  <c r="Q47" i="12" s="1"/>
  <c r="C129" i="12"/>
  <c r="I76" i="12"/>
  <c r="B95" i="12"/>
  <c r="C95" i="12" s="1"/>
  <c r="D95" i="12" s="1"/>
  <c r="L113" i="12"/>
  <c r="P138" i="12"/>
  <c r="Q138" i="12" s="1"/>
  <c r="I68" i="12"/>
  <c r="I114" i="12"/>
  <c r="I113" i="12" s="1"/>
  <c r="H63" i="12"/>
  <c r="N98" i="12"/>
  <c r="N6" i="12"/>
  <c r="N78" i="12"/>
  <c r="L83" i="12"/>
  <c r="N89" i="12"/>
  <c r="B128" i="12"/>
  <c r="C128" i="12" s="1"/>
  <c r="D128" i="12" s="1"/>
  <c r="N85" i="12"/>
  <c r="N87" i="12"/>
  <c r="M88" i="12"/>
  <c r="N88" i="12" s="1"/>
  <c r="C33" i="13"/>
  <c r="N100" i="12"/>
  <c r="B49" i="12"/>
  <c r="C49" i="12" s="1"/>
  <c r="D49" i="12" s="1"/>
  <c r="I83" i="12"/>
  <c r="I75" i="12" s="1"/>
  <c r="I96" i="12"/>
  <c r="L96" i="12"/>
  <c r="L95" i="12" s="1"/>
  <c r="N102" i="12"/>
  <c r="K59" i="12"/>
  <c r="I57" i="12"/>
  <c r="I144" i="12"/>
  <c r="I143" i="12"/>
  <c r="H96" i="12"/>
  <c r="P15" i="12"/>
  <c r="M60" i="12"/>
  <c r="P17" i="12"/>
  <c r="P124" i="12"/>
  <c r="Q124" i="12" s="1"/>
  <c r="P115" i="12"/>
  <c r="P117" i="12"/>
  <c r="P122" i="12"/>
  <c r="Q122" i="12" s="1"/>
  <c r="P126" i="12"/>
  <c r="Q126" i="12" s="1"/>
  <c r="H134" i="12"/>
  <c r="P78" i="12"/>
  <c r="H68" i="12"/>
  <c r="P93" i="12"/>
  <c r="Q93" i="12" s="1"/>
  <c r="P98" i="12"/>
  <c r="P100" i="12"/>
  <c r="P102" i="12"/>
  <c r="C114" i="12"/>
  <c r="M66" i="12"/>
  <c r="N99" i="12"/>
  <c r="N101" i="12"/>
  <c r="O68" i="12"/>
  <c r="N7" i="12"/>
  <c r="I13" i="12"/>
  <c r="P38" i="12"/>
  <c r="Q38" i="12" s="1"/>
  <c r="I40" i="12"/>
  <c r="I35" i="12" s="1"/>
  <c r="G52" i="12"/>
  <c r="H52" i="12" s="1"/>
  <c r="N86" i="12"/>
  <c r="H95" i="12"/>
  <c r="I134" i="12"/>
  <c r="I128" i="12" s="1"/>
  <c r="I27" i="12"/>
  <c r="L40" i="12"/>
  <c r="I52" i="12"/>
  <c r="P70" i="12"/>
  <c r="Q70" i="12" s="1"/>
  <c r="P72" i="12"/>
  <c r="Q72" i="12" s="1"/>
  <c r="L76" i="12"/>
  <c r="H83" i="12"/>
  <c r="P86" i="12"/>
  <c r="P88" i="12"/>
  <c r="L134" i="12"/>
  <c r="L128" i="12" s="1"/>
  <c r="G49" i="12"/>
  <c r="K55" i="12"/>
  <c r="P105" i="12"/>
  <c r="P104" i="12" s="1"/>
  <c r="N15" i="12"/>
  <c r="N17" i="12"/>
  <c r="N21" i="12"/>
  <c r="N23" i="12"/>
  <c r="K61" i="12"/>
  <c r="K64" i="12"/>
  <c r="N117" i="12"/>
  <c r="N136" i="12"/>
  <c r="P140" i="12"/>
  <c r="Q140" i="12" s="1"/>
  <c r="P85" i="12"/>
  <c r="P101" i="12"/>
  <c r="H10" i="12"/>
  <c r="B35" i="12"/>
  <c r="C35" i="12" s="1"/>
  <c r="D35" i="12" s="1"/>
  <c r="C57" i="12"/>
  <c r="P69" i="12"/>
  <c r="Q69" i="12" s="1"/>
  <c r="P71" i="12"/>
  <c r="Q71" i="12" s="1"/>
  <c r="P73" i="12"/>
  <c r="Q73" i="12" s="1"/>
  <c r="C96" i="12"/>
  <c r="K120" i="12"/>
  <c r="K132" i="12"/>
  <c r="P4" i="12"/>
  <c r="M50" i="12"/>
  <c r="P77" i="12"/>
  <c r="P87" i="12"/>
  <c r="P97" i="12"/>
  <c r="N16" i="12"/>
  <c r="N18" i="12"/>
  <c r="N20" i="12"/>
  <c r="N24" i="12"/>
  <c r="N29" i="12"/>
  <c r="K54" i="12"/>
  <c r="H104" i="12"/>
  <c r="N116" i="12"/>
  <c r="N118" i="12"/>
  <c r="H75" i="12"/>
  <c r="P79" i="12"/>
  <c r="P89" i="12"/>
  <c r="P99" i="12"/>
  <c r="B2" i="12"/>
  <c r="P31" i="12"/>
  <c r="C52" i="12"/>
  <c r="G57" i="12"/>
  <c r="H57" i="12" s="1"/>
  <c r="K60" i="12"/>
  <c r="C76" i="12"/>
  <c r="P81" i="12"/>
  <c r="Q81" i="12" s="1"/>
  <c r="P91" i="12"/>
  <c r="Q91" i="12" s="1"/>
  <c r="H114" i="12"/>
  <c r="P118" i="12"/>
  <c r="N120" i="12"/>
  <c r="N132" i="12"/>
  <c r="N42" i="12"/>
  <c r="H35" i="12"/>
  <c r="P36" i="12"/>
  <c r="Q36" i="12" s="1"/>
  <c r="P33" i="12"/>
  <c r="Q33" i="12" s="1"/>
  <c r="N31" i="12"/>
  <c r="N30" i="12"/>
  <c r="L27" i="12"/>
  <c r="N25" i="12"/>
  <c r="N22" i="12"/>
  <c r="N19" i="12"/>
  <c r="N5" i="12"/>
  <c r="P7" i="12"/>
  <c r="P6" i="12"/>
  <c r="P5" i="12"/>
  <c r="J10" i="12"/>
  <c r="P11" i="12"/>
  <c r="P10" i="12" s="1"/>
  <c r="M14" i="12"/>
  <c r="M13" i="12" s="1"/>
  <c r="P16" i="12"/>
  <c r="P18" i="12"/>
  <c r="P19" i="12"/>
  <c r="P20" i="12"/>
  <c r="P21" i="12"/>
  <c r="P22" i="12"/>
  <c r="P23" i="12"/>
  <c r="P24" i="12"/>
  <c r="P25" i="12"/>
  <c r="P28" i="12"/>
  <c r="P29" i="12"/>
  <c r="P30" i="12"/>
  <c r="P41" i="12"/>
  <c r="P42" i="12"/>
  <c r="P45" i="12"/>
  <c r="P44" i="12" s="1"/>
  <c r="M53" i="12"/>
  <c r="M54" i="12"/>
  <c r="M55" i="12"/>
  <c r="M58" i="12"/>
  <c r="M59" i="12"/>
  <c r="M61" i="12"/>
  <c r="K63" i="12"/>
  <c r="P84" i="12"/>
  <c r="P130" i="12"/>
  <c r="P129" i="12" s="1"/>
  <c r="P135" i="12"/>
  <c r="P136" i="12"/>
  <c r="H44" i="12"/>
  <c r="H40" i="12"/>
  <c r="H27" i="12"/>
  <c r="H13" i="12"/>
  <c r="H3" i="12"/>
  <c r="N4" i="12"/>
  <c r="N11" i="12"/>
  <c r="M10" i="12"/>
  <c r="N10" i="12" s="1"/>
  <c r="K14" i="12"/>
  <c r="N28" i="12"/>
  <c r="M27" i="12"/>
  <c r="N41" i="12"/>
  <c r="M40" i="12"/>
  <c r="N45" i="12"/>
  <c r="M44" i="12"/>
  <c r="N44" i="12" s="1"/>
  <c r="K53" i="12"/>
  <c r="J52" i="12"/>
  <c r="K58" i="12"/>
  <c r="J57" i="12"/>
  <c r="C3" i="12"/>
  <c r="D4" i="12"/>
  <c r="J4" i="12"/>
  <c r="O4" i="12"/>
  <c r="D5" i="12"/>
  <c r="J5" i="12"/>
  <c r="K5" i="12" s="1"/>
  <c r="O5" i="12"/>
  <c r="D6" i="12"/>
  <c r="J6" i="12"/>
  <c r="K6" i="12" s="1"/>
  <c r="O6" i="12"/>
  <c r="D7" i="12"/>
  <c r="J7" i="12"/>
  <c r="K7" i="12" s="1"/>
  <c r="O7" i="12"/>
  <c r="I10" i="12"/>
  <c r="D11" i="12"/>
  <c r="J11" i="12"/>
  <c r="O11" i="12"/>
  <c r="O10" i="12" s="1"/>
  <c r="D14" i="12"/>
  <c r="H14" i="12"/>
  <c r="L14" i="12"/>
  <c r="L13" i="12" s="1"/>
  <c r="D15" i="12"/>
  <c r="J15" i="12"/>
  <c r="O15" i="12"/>
  <c r="D16" i="12"/>
  <c r="J16" i="12"/>
  <c r="K16" i="12" s="1"/>
  <c r="O16" i="12"/>
  <c r="D17" i="12"/>
  <c r="J17" i="12"/>
  <c r="K17" i="12" s="1"/>
  <c r="O17" i="12"/>
  <c r="D18" i="12"/>
  <c r="J18" i="12"/>
  <c r="K18" i="12" s="1"/>
  <c r="O18" i="12"/>
  <c r="D19" i="12"/>
  <c r="J19" i="12"/>
  <c r="K19" i="12" s="1"/>
  <c r="O19" i="12"/>
  <c r="D20" i="12"/>
  <c r="J20" i="12"/>
  <c r="K20" i="12" s="1"/>
  <c r="O20" i="12"/>
  <c r="D21" i="12"/>
  <c r="J21" i="12"/>
  <c r="K21" i="12" s="1"/>
  <c r="O21" i="12"/>
  <c r="D22" i="12"/>
  <c r="J22" i="12"/>
  <c r="K22" i="12" s="1"/>
  <c r="O22" i="12"/>
  <c r="D23" i="12"/>
  <c r="J23" i="12"/>
  <c r="K23" i="12" s="1"/>
  <c r="O23" i="12"/>
  <c r="D24" i="12"/>
  <c r="J24" i="12"/>
  <c r="K24" i="12" s="1"/>
  <c r="O24" i="12"/>
  <c r="D25" i="12"/>
  <c r="J25" i="12"/>
  <c r="K25" i="12" s="1"/>
  <c r="O25" i="12"/>
  <c r="D28" i="12"/>
  <c r="J28" i="12"/>
  <c r="O28" i="12"/>
  <c r="D29" i="12"/>
  <c r="J29" i="12"/>
  <c r="K29" i="12" s="1"/>
  <c r="O29" i="12"/>
  <c r="D30" i="12"/>
  <c r="J30" i="12"/>
  <c r="K30" i="12" s="1"/>
  <c r="O30" i="12"/>
  <c r="D31" i="12"/>
  <c r="J31" i="12"/>
  <c r="K31" i="12" s="1"/>
  <c r="O31" i="12"/>
  <c r="D33" i="12"/>
  <c r="L33" i="12" s="1"/>
  <c r="L144" i="12" s="1"/>
  <c r="J33" i="12"/>
  <c r="K33" i="12" s="1"/>
  <c r="M33" i="12"/>
  <c r="D36" i="12"/>
  <c r="J36" i="12"/>
  <c r="M36" i="12"/>
  <c r="D38" i="12"/>
  <c r="L38" i="12" s="1"/>
  <c r="J38" i="12"/>
  <c r="K38" i="12" s="1"/>
  <c r="M38" i="12"/>
  <c r="D41" i="12"/>
  <c r="J41" i="12"/>
  <c r="O41" i="12"/>
  <c r="D42" i="12"/>
  <c r="J42" i="12"/>
  <c r="K42" i="12" s="1"/>
  <c r="O42" i="12"/>
  <c r="D45" i="12"/>
  <c r="J45" i="12"/>
  <c r="O45" i="12"/>
  <c r="O44" i="12" s="1"/>
  <c r="D47" i="12"/>
  <c r="J47" i="12"/>
  <c r="K47" i="12" s="1"/>
  <c r="M47" i="12"/>
  <c r="N47" i="12" s="1"/>
  <c r="D50" i="12"/>
  <c r="H50" i="12"/>
  <c r="J50" i="12"/>
  <c r="L50" i="12"/>
  <c r="D53" i="12"/>
  <c r="H53" i="12"/>
  <c r="L53" i="12"/>
  <c r="D54" i="12"/>
  <c r="H54" i="12"/>
  <c r="L54" i="12"/>
  <c r="D55" i="12"/>
  <c r="H55" i="12"/>
  <c r="L55" i="12"/>
  <c r="D58" i="12"/>
  <c r="H58" i="12"/>
  <c r="L58" i="12"/>
  <c r="D59" i="12"/>
  <c r="H59" i="12"/>
  <c r="L59" i="12"/>
  <c r="D60" i="12"/>
  <c r="H60" i="12"/>
  <c r="L60" i="12"/>
  <c r="D61" i="12"/>
  <c r="H61" i="12"/>
  <c r="L61" i="12"/>
  <c r="D64" i="12"/>
  <c r="M64" i="12"/>
  <c r="L64" i="12"/>
  <c r="L63" i="12" s="1"/>
  <c r="H64" i="12"/>
  <c r="N77" i="12"/>
  <c r="M76" i="12"/>
  <c r="N84" i="12"/>
  <c r="N97" i="12"/>
  <c r="M96" i="12"/>
  <c r="J104" i="12"/>
  <c r="N105" i="12"/>
  <c r="M104" i="12"/>
  <c r="N104" i="12" s="1"/>
  <c r="N115" i="12"/>
  <c r="M114" i="12"/>
  <c r="D66" i="12"/>
  <c r="H66" i="12"/>
  <c r="O66" i="12" s="1"/>
  <c r="J66" i="12"/>
  <c r="K66" i="12" s="1"/>
  <c r="L66" i="12"/>
  <c r="C68" i="12"/>
  <c r="D68" i="12" s="1"/>
  <c r="D69" i="12"/>
  <c r="J69" i="12"/>
  <c r="M69" i="12"/>
  <c r="D70" i="12"/>
  <c r="J70" i="12"/>
  <c r="K70" i="12" s="1"/>
  <c r="M70" i="12"/>
  <c r="N70" i="12" s="1"/>
  <c r="D71" i="12"/>
  <c r="J71" i="12"/>
  <c r="K71" i="12" s="1"/>
  <c r="M71" i="12"/>
  <c r="N71" i="12" s="1"/>
  <c r="D72" i="12"/>
  <c r="J72" i="12"/>
  <c r="K72" i="12" s="1"/>
  <c r="M72" i="12"/>
  <c r="N72" i="12" s="1"/>
  <c r="D73" i="12"/>
  <c r="L73" i="12" s="1"/>
  <c r="L68" i="12" s="1"/>
  <c r="J73" i="12"/>
  <c r="K73" i="12" s="1"/>
  <c r="M73" i="12"/>
  <c r="C75" i="12"/>
  <c r="D75" i="12" s="1"/>
  <c r="D77" i="12"/>
  <c r="J77" i="12"/>
  <c r="O77" i="12"/>
  <c r="D78" i="12"/>
  <c r="J78" i="12"/>
  <c r="K78" i="12" s="1"/>
  <c r="O78" i="12"/>
  <c r="D79" i="12"/>
  <c r="J79" i="12"/>
  <c r="K79" i="12" s="1"/>
  <c r="O79" i="12"/>
  <c r="D81" i="12"/>
  <c r="J81" i="12"/>
  <c r="K81" i="12" s="1"/>
  <c r="M81" i="12"/>
  <c r="N81" i="12" s="1"/>
  <c r="C83" i="12"/>
  <c r="D83" i="12" s="1"/>
  <c r="D84" i="12"/>
  <c r="J84" i="12"/>
  <c r="O84" i="12"/>
  <c r="D85" i="12"/>
  <c r="J85" i="12"/>
  <c r="K85" i="12" s="1"/>
  <c r="O85" i="12"/>
  <c r="D86" i="12"/>
  <c r="J86" i="12"/>
  <c r="K86" i="12" s="1"/>
  <c r="O86" i="12"/>
  <c r="D87" i="12"/>
  <c r="J87" i="12"/>
  <c r="K87" i="12" s="1"/>
  <c r="O87" i="12"/>
  <c r="D88" i="12"/>
  <c r="D33" i="13" s="1"/>
  <c r="J88" i="12"/>
  <c r="K88" i="12" s="1"/>
  <c r="O88" i="12"/>
  <c r="D89" i="12"/>
  <c r="J89" i="12"/>
  <c r="K89" i="12" s="1"/>
  <c r="O89" i="12"/>
  <c r="D91" i="12"/>
  <c r="J91" i="12"/>
  <c r="K91" i="12" s="1"/>
  <c r="M91" i="12"/>
  <c r="N91" i="12" s="1"/>
  <c r="D93" i="12"/>
  <c r="J93" i="12"/>
  <c r="K93" i="12" s="1"/>
  <c r="M93" i="12"/>
  <c r="N93" i="12" s="1"/>
  <c r="D97" i="12"/>
  <c r="J97" i="12"/>
  <c r="O97" i="12"/>
  <c r="D98" i="12"/>
  <c r="J98" i="12"/>
  <c r="K98" i="12" s="1"/>
  <c r="O98" i="12"/>
  <c r="D99" i="12"/>
  <c r="J99" i="12"/>
  <c r="K99" i="12" s="1"/>
  <c r="O99" i="12"/>
  <c r="D100" i="12"/>
  <c r="J100" i="12"/>
  <c r="K100" i="12" s="1"/>
  <c r="O100" i="12"/>
  <c r="D101" i="12"/>
  <c r="J101" i="12"/>
  <c r="K101" i="12" s="1"/>
  <c r="O101" i="12"/>
  <c r="D102" i="12"/>
  <c r="J102" i="12"/>
  <c r="K102" i="12" s="1"/>
  <c r="O102" i="12"/>
  <c r="I104" i="12"/>
  <c r="D105" i="12"/>
  <c r="J105" i="12"/>
  <c r="K105" i="12" s="1"/>
  <c r="O105" i="12"/>
  <c r="O104" i="12" s="1"/>
  <c r="D107" i="12"/>
  <c r="J107" i="12"/>
  <c r="K107" i="12" s="1"/>
  <c r="M107" i="12"/>
  <c r="N107" i="12" s="1"/>
  <c r="D109" i="12"/>
  <c r="J109" i="12"/>
  <c r="K109" i="12" s="1"/>
  <c r="M109" i="12"/>
  <c r="N109" i="12" s="1"/>
  <c r="D111" i="12"/>
  <c r="J111" i="12"/>
  <c r="K111" i="12" s="1"/>
  <c r="M111" i="12"/>
  <c r="N111" i="12" s="1"/>
  <c r="C113" i="12"/>
  <c r="D113" i="12" s="1"/>
  <c r="D115" i="12"/>
  <c r="J115" i="12"/>
  <c r="O115" i="12"/>
  <c r="D116" i="12"/>
  <c r="P116" i="12"/>
  <c r="J116" i="12"/>
  <c r="K116" i="12" s="1"/>
  <c r="O116" i="12"/>
  <c r="N130" i="12"/>
  <c r="M129" i="12"/>
  <c r="N135" i="12"/>
  <c r="M134" i="12"/>
  <c r="D117" i="12"/>
  <c r="J117" i="12"/>
  <c r="K117" i="12" s="1"/>
  <c r="O117" i="12"/>
  <c r="D118" i="12"/>
  <c r="J118" i="12"/>
  <c r="K118" i="12" s="1"/>
  <c r="O118" i="12"/>
  <c r="O120" i="12"/>
  <c r="Q120" i="12" s="1"/>
  <c r="D122" i="12"/>
  <c r="J122" i="12"/>
  <c r="K122" i="12" s="1"/>
  <c r="M122" i="12"/>
  <c r="N122" i="12" s="1"/>
  <c r="D124" i="12"/>
  <c r="J124" i="12"/>
  <c r="K124" i="12" s="1"/>
  <c r="M124" i="12"/>
  <c r="N124" i="12" s="1"/>
  <c r="D126" i="12"/>
  <c r="J126" i="12"/>
  <c r="K126" i="12" s="1"/>
  <c r="M126" i="12"/>
  <c r="N126" i="12" s="1"/>
  <c r="D130" i="12"/>
  <c r="D129" i="12" s="1"/>
  <c r="J130" i="12"/>
  <c r="O130" i="12"/>
  <c r="O129" i="12" s="1"/>
  <c r="O132" i="12"/>
  <c r="Q132" i="12" s="1"/>
  <c r="C134" i="12"/>
  <c r="D134" i="12" s="1"/>
  <c r="D135" i="12"/>
  <c r="J135" i="12"/>
  <c r="O135" i="12"/>
  <c r="D136" i="12"/>
  <c r="J136" i="12"/>
  <c r="K136" i="12" s="1"/>
  <c r="O136" i="12"/>
  <c r="D138" i="12"/>
  <c r="J138" i="12"/>
  <c r="K138" i="12" s="1"/>
  <c r="M138" i="12"/>
  <c r="N138" i="12" s="1"/>
  <c r="D140" i="12"/>
  <c r="J140" i="12"/>
  <c r="K140" i="12" s="1"/>
  <c r="M140" i="12"/>
  <c r="N140" i="12" s="1"/>
  <c r="C4" i="2"/>
  <c r="M4" i="2" s="1"/>
  <c r="I4" i="2"/>
  <c r="C5" i="2"/>
  <c r="J5" i="2" s="1"/>
  <c r="I5" i="2"/>
  <c r="C6" i="2"/>
  <c r="D6" i="2" s="1"/>
  <c r="I6" i="2"/>
  <c r="C7" i="2"/>
  <c r="J7" i="2" s="1"/>
  <c r="I7" i="2"/>
  <c r="B8" i="2"/>
  <c r="C8" i="2" s="1"/>
  <c r="C17" i="2"/>
  <c r="D17" i="2" s="1"/>
  <c r="I17" i="2"/>
  <c r="C18" i="2"/>
  <c r="M18" i="2" s="1"/>
  <c r="I18" i="2"/>
  <c r="C19" i="2"/>
  <c r="J19" i="2" s="1"/>
  <c r="I19" i="2"/>
  <c r="C20" i="2"/>
  <c r="D20" i="2" s="1"/>
  <c r="I20" i="2"/>
  <c r="C21" i="2"/>
  <c r="D21" i="2" s="1"/>
  <c r="I21" i="2"/>
  <c r="C22" i="2"/>
  <c r="J22" i="2" s="1"/>
  <c r="I22" i="2"/>
  <c r="C23" i="2"/>
  <c r="D23" i="2" s="1"/>
  <c r="I23" i="2"/>
  <c r="C14" i="2"/>
  <c r="J14" i="2" s="1"/>
  <c r="I14" i="2"/>
  <c r="C15" i="2"/>
  <c r="J15" i="2" s="1"/>
  <c r="I15" i="2"/>
  <c r="C16" i="2"/>
  <c r="M16" i="2" s="1"/>
  <c r="I16" i="2"/>
  <c r="C26" i="2"/>
  <c r="J26" i="2" s="1"/>
  <c r="I26" i="2"/>
  <c r="C27" i="2"/>
  <c r="I27" i="2"/>
  <c r="C28" i="2"/>
  <c r="J28" i="2" s="1"/>
  <c r="I28" i="2"/>
  <c r="C29" i="2"/>
  <c r="D29" i="2" s="1"/>
  <c r="I29" i="2"/>
  <c r="C11" i="2"/>
  <c r="J11" i="2" s="1"/>
  <c r="I11" i="2"/>
  <c r="I10" i="2" s="1"/>
  <c r="C31" i="2"/>
  <c r="I31" i="2"/>
  <c r="C39" i="2"/>
  <c r="I39" i="2"/>
  <c r="C40" i="2"/>
  <c r="J40" i="2" s="1"/>
  <c r="I40" i="2"/>
  <c r="C34" i="2"/>
  <c r="I34" i="2"/>
  <c r="C36" i="2"/>
  <c r="J36" i="2" s="1"/>
  <c r="I36" i="2"/>
  <c r="C43" i="2"/>
  <c r="I43" i="2"/>
  <c r="I42" i="2" s="1"/>
  <c r="C45" i="2"/>
  <c r="J45" i="2"/>
  <c r="I45" i="2"/>
  <c r="I48" i="2"/>
  <c r="C48" i="2"/>
  <c r="J48" i="2" s="1"/>
  <c r="C51" i="2"/>
  <c r="D51" i="2" s="1"/>
  <c r="I51" i="2"/>
  <c r="C52" i="2"/>
  <c r="I52" i="2"/>
  <c r="C53" i="2"/>
  <c r="J53" i="2" s="1"/>
  <c r="I53" i="2"/>
  <c r="C56" i="2"/>
  <c r="J56" i="2" s="1"/>
  <c r="I56" i="2"/>
  <c r="C57" i="2"/>
  <c r="D57" i="2" s="1"/>
  <c r="I57" i="2"/>
  <c r="C58" i="2"/>
  <c r="J58" i="2" s="1"/>
  <c r="I58" i="2"/>
  <c r="C59" i="2"/>
  <c r="D59" i="2" s="1"/>
  <c r="I59" i="2"/>
  <c r="I62" i="2"/>
  <c r="I61" i="2" s="1"/>
  <c r="C62" i="2"/>
  <c r="J62" i="2" s="1"/>
  <c r="I64" i="2"/>
  <c r="C64" i="2"/>
  <c r="D64" i="2" s="1"/>
  <c r="C67" i="2"/>
  <c r="J67" i="2" s="1"/>
  <c r="C68" i="2"/>
  <c r="D68" i="2" s="1"/>
  <c r="C69" i="2"/>
  <c r="C70" i="2"/>
  <c r="J70" i="2" s="1"/>
  <c r="C71" i="2"/>
  <c r="I67" i="2"/>
  <c r="I68" i="2"/>
  <c r="I69" i="2"/>
  <c r="I70" i="2"/>
  <c r="I71" i="2"/>
  <c r="C75" i="2"/>
  <c r="M75" i="2" s="1"/>
  <c r="I75" i="2"/>
  <c r="C76" i="2"/>
  <c r="J76" i="2" s="1"/>
  <c r="I76" i="2"/>
  <c r="C77" i="2"/>
  <c r="D77" i="2" s="1"/>
  <c r="I77" i="2"/>
  <c r="C78" i="2"/>
  <c r="J78" i="2" s="1"/>
  <c r="I78" i="2"/>
  <c r="I80" i="2"/>
  <c r="C80" i="2"/>
  <c r="D80" i="2" s="1"/>
  <c r="C83" i="2"/>
  <c r="D83" i="2" s="1"/>
  <c r="I83" i="2"/>
  <c r="C84" i="2"/>
  <c r="D84" i="2" s="1"/>
  <c r="J84" i="2"/>
  <c r="I84" i="2"/>
  <c r="C85" i="2"/>
  <c r="D85" i="2" s="1"/>
  <c r="I85" i="2"/>
  <c r="C86" i="2"/>
  <c r="I86" i="2"/>
  <c r="C87" i="2"/>
  <c r="J87" i="2" s="1"/>
  <c r="I87" i="2"/>
  <c r="C88" i="2"/>
  <c r="J88" i="2" s="1"/>
  <c r="I88" i="2"/>
  <c r="I90" i="2"/>
  <c r="C90" i="2"/>
  <c r="I92" i="2"/>
  <c r="C92" i="2"/>
  <c r="J92" i="2" s="1"/>
  <c r="C96" i="2"/>
  <c r="D96" i="2" s="1"/>
  <c r="I96" i="2"/>
  <c r="C97" i="2"/>
  <c r="D97" i="2" s="1"/>
  <c r="I97" i="2"/>
  <c r="C98" i="2"/>
  <c r="J98" i="2" s="1"/>
  <c r="I98" i="2"/>
  <c r="C99" i="2"/>
  <c r="M99" i="2" s="1"/>
  <c r="I99" i="2"/>
  <c r="C100" i="2"/>
  <c r="J100" i="2" s="1"/>
  <c r="I100" i="2"/>
  <c r="C101" i="2"/>
  <c r="D101" i="2" s="1"/>
  <c r="I101" i="2"/>
  <c r="F103" i="2"/>
  <c r="C104" i="2"/>
  <c r="D104" i="2" s="1"/>
  <c r="D103" i="2" s="1"/>
  <c r="B103" i="2"/>
  <c r="C106" i="2"/>
  <c r="M106" i="2" s="1"/>
  <c r="I106" i="2"/>
  <c r="C108" i="2"/>
  <c r="J108" i="2" s="1"/>
  <c r="I108" i="2"/>
  <c r="C110" i="2"/>
  <c r="J110" i="2" s="1"/>
  <c r="I110" i="2"/>
  <c r="C114" i="2"/>
  <c r="J114" i="2" s="1"/>
  <c r="I114" i="2"/>
  <c r="C115" i="2"/>
  <c r="J115" i="2" s="1"/>
  <c r="I115" i="2"/>
  <c r="C116" i="2"/>
  <c r="J116" i="2" s="1"/>
  <c r="I116" i="2"/>
  <c r="K116" i="2" s="1"/>
  <c r="J118" i="2"/>
  <c r="I118" i="2"/>
  <c r="C120" i="2"/>
  <c r="J120" i="2" s="1"/>
  <c r="I120" i="2"/>
  <c r="C122" i="2"/>
  <c r="D122" i="2" s="1"/>
  <c r="I122" i="2"/>
  <c r="C124" i="2"/>
  <c r="J124" i="2" s="1"/>
  <c r="I124" i="2"/>
  <c r="C128" i="2"/>
  <c r="C127" i="2" s="1"/>
  <c r="I128" i="2"/>
  <c r="I127" i="2" s="1"/>
  <c r="C133" i="2"/>
  <c r="J133" i="2" s="1"/>
  <c r="J132" i="2" s="1"/>
  <c r="I133" i="2"/>
  <c r="I132" i="2" s="1"/>
  <c r="J130" i="2"/>
  <c r="I130" i="2"/>
  <c r="C135" i="2"/>
  <c r="J135" i="2" s="1"/>
  <c r="I135" i="2"/>
  <c r="C137" i="2"/>
  <c r="J137" i="2" s="1"/>
  <c r="I137" i="2"/>
  <c r="F126" i="2"/>
  <c r="G126" i="2"/>
  <c r="H128" i="2"/>
  <c r="H127" i="2" s="1"/>
  <c r="H130" i="2"/>
  <c r="H133" i="2"/>
  <c r="H132" i="2" s="1"/>
  <c r="H135" i="2"/>
  <c r="O135" i="2" s="1"/>
  <c r="H137" i="2"/>
  <c r="O137" i="2" s="1"/>
  <c r="G112" i="2"/>
  <c r="H115" i="2"/>
  <c r="O115" i="2" s="1"/>
  <c r="H116" i="2"/>
  <c r="O116" i="2" s="1"/>
  <c r="H118" i="2"/>
  <c r="H120" i="2"/>
  <c r="H122" i="2"/>
  <c r="O122" i="2" s="1"/>
  <c r="H124" i="2"/>
  <c r="O124" i="2" s="1"/>
  <c r="H114" i="2"/>
  <c r="F112" i="2"/>
  <c r="H97" i="2"/>
  <c r="H98" i="2"/>
  <c r="H99" i="2"/>
  <c r="H100" i="2"/>
  <c r="O100" i="2" s="1"/>
  <c r="H101" i="2"/>
  <c r="O101" i="2" s="1"/>
  <c r="H96" i="2"/>
  <c r="H104" i="2"/>
  <c r="O104" i="2" s="1"/>
  <c r="H106" i="2"/>
  <c r="O106" i="2" s="1"/>
  <c r="H108" i="2"/>
  <c r="H110" i="2"/>
  <c r="O110" i="2" s="1"/>
  <c r="G94" i="2"/>
  <c r="F94" i="2"/>
  <c r="G73" i="2"/>
  <c r="H75" i="2"/>
  <c r="O75" i="2" s="1"/>
  <c r="H77" i="2"/>
  <c r="O77" i="2" s="1"/>
  <c r="H78" i="2"/>
  <c r="H80" i="2"/>
  <c r="O80" i="2" s="1"/>
  <c r="H83" i="2"/>
  <c r="H84" i="2"/>
  <c r="H85" i="2"/>
  <c r="O85" i="2" s="1"/>
  <c r="H87" i="2"/>
  <c r="H88" i="2"/>
  <c r="H90" i="2"/>
  <c r="O90" i="2" s="1"/>
  <c r="H92" i="2"/>
  <c r="H76" i="2"/>
  <c r="F73" i="2"/>
  <c r="G66" i="2"/>
  <c r="H68" i="2"/>
  <c r="O68" i="2" s="1"/>
  <c r="H69" i="2"/>
  <c r="O69" i="2" s="1"/>
  <c r="H70" i="2"/>
  <c r="O70" i="2" s="1"/>
  <c r="H71" i="2"/>
  <c r="O71" i="2" s="1"/>
  <c r="H67" i="2"/>
  <c r="F66" i="2"/>
  <c r="G48" i="2"/>
  <c r="L48" i="2" s="1"/>
  <c r="G51" i="2"/>
  <c r="G52" i="2"/>
  <c r="L52" i="2" s="1"/>
  <c r="G53" i="2"/>
  <c r="H53" i="2" s="1"/>
  <c r="G56" i="2"/>
  <c r="H56" i="2" s="1"/>
  <c r="O56" i="2" s="1"/>
  <c r="G58" i="2"/>
  <c r="G59" i="2"/>
  <c r="L59" i="2" s="1"/>
  <c r="G62" i="2"/>
  <c r="G61" i="2" s="1"/>
  <c r="G64" i="2"/>
  <c r="H64" i="2" s="1"/>
  <c r="O64" i="2" s="1"/>
  <c r="G57" i="2"/>
  <c r="F47" i="2"/>
  <c r="H39" i="2"/>
  <c r="H40" i="2"/>
  <c r="O40" i="2" s="1"/>
  <c r="H34" i="2"/>
  <c r="O34" i="2" s="1"/>
  <c r="H36" i="2"/>
  <c r="H43" i="2"/>
  <c r="O43" i="2" s="1"/>
  <c r="O42" i="2" s="1"/>
  <c r="H45" i="2"/>
  <c r="O45" i="2" s="1"/>
  <c r="G33" i="2"/>
  <c r="F33" i="2"/>
  <c r="H5" i="2"/>
  <c r="H6" i="2"/>
  <c r="H8" i="2"/>
  <c r="O8" i="2" s="1"/>
  <c r="H18" i="2"/>
  <c r="O18" i="2" s="1"/>
  <c r="H19" i="2"/>
  <c r="O19" i="2" s="1"/>
  <c r="H20" i="2"/>
  <c r="P20" i="2" s="1"/>
  <c r="H21" i="2"/>
  <c r="H22" i="2"/>
  <c r="O22" i="2" s="1"/>
  <c r="H23" i="2"/>
  <c r="O23" i="2" s="1"/>
  <c r="H27" i="2"/>
  <c r="O27" i="2" s="1"/>
  <c r="H28" i="2"/>
  <c r="O28" i="2" s="1"/>
  <c r="H29" i="2"/>
  <c r="O29" i="2" s="1"/>
  <c r="H4" i="2"/>
  <c r="O4" i="2" s="1"/>
  <c r="H7" i="2"/>
  <c r="H11" i="2"/>
  <c r="H14" i="2"/>
  <c r="O14" i="2" s="1"/>
  <c r="H15" i="2"/>
  <c r="H16" i="2"/>
  <c r="O16" i="2" s="1"/>
  <c r="H26" i="2"/>
  <c r="H31" i="2"/>
  <c r="O31" i="2" s="1"/>
  <c r="G124" i="3"/>
  <c r="F124" i="3"/>
  <c r="G110" i="3"/>
  <c r="F110" i="3"/>
  <c r="G92" i="3"/>
  <c r="F92" i="3"/>
  <c r="G72" i="3"/>
  <c r="F72" i="3"/>
  <c r="G65" i="3"/>
  <c r="F65" i="3"/>
  <c r="F47" i="3"/>
  <c r="G33" i="3"/>
  <c r="F33" i="3"/>
  <c r="L7" i="2"/>
  <c r="C52" i="3"/>
  <c r="D52" i="3" s="1"/>
  <c r="H7" i="3"/>
  <c r="C7" i="3"/>
  <c r="M7" i="3" s="1"/>
  <c r="L7" i="3"/>
  <c r="I7" i="3"/>
  <c r="C15" i="3"/>
  <c r="D15" i="3" s="1"/>
  <c r="I15" i="3"/>
  <c r="C14" i="3"/>
  <c r="J14" i="3" s="1"/>
  <c r="I14" i="3"/>
  <c r="C16" i="3"/>
  <c r="J16" i="3" s="1"/>
  <c r="I16" i="3"/>
  <c r="C17" i="3"/>
  <c r="D17" i="3" s="1"/>
  <c r="I17" i="3"/>
  <c r="C18" i="3"/>
  <c r="J18" i="3" s="1"/>
  <c r="I18" i="3"/>
  <c r="C19" i="3"/>
  <c r="M19" i="3" s="1"/>
  <c r="I19" i="3"/>
  <c r="C20" i="3"/>
  <c r="M20" i="3" s="1"/>
  <c r="I20" i="3"/>
  <c r="C21" i="3"/>
  <c r="D21" i="3" s="1"/>
  <c r="I21" i="3"/>
  <c r="C22" i="3"/>
  <c r="D22" i="3" s="1"/>
  <c r="I22" i="3"/>
  <c r="C23" i="3"/>
  <c r="J23" i="3" s="1"/>
  <c r="I23" i="3"/>
  <c r="C4" i="3"/>
  <c r="J4" i="3" s="1"/>
  <c r="I4" i="3"/>
  <c r="C5" i="3"/>
  <c r="J5" i="3" s="1"/>
  <c r="I5" i="3"/>
  <c r="C6" i="3"/>
  <c r="I6" i="3"/>
  <c r="C8" i="3"/>
  <c r="M8" i="3" s="1"/>
  <c r="I8" i="3"/>
  <c r="C11" i="3"/>
  <c r="J11" i="3" s="1"/>
  <c r="I11" i="3"/>
  <c r="I10" i="3" s="1"/>
  <c r="C26" i="3"/>
  <c r="D26" i="3" s="1"/>
  <c r="I26" i="3"/>
  <c r="C27" i="3"/>
  <c r="M27" i="3" s="1"/>
  <c r="I27" i="3"/>
  <c r="C28" i="3"/>
  <c r="M28" i="3" s="1"/>
  <c r="I28" i="3"/>
  <c r="C29" i="3"/>
  <c r="J29" i="3" s="1"/>
  <c r="I29" i="3"/>
  <c r="C31" i="3"/>
  <c r="M31" i="3" s="1"/>
  <c r="I31" i="3"/>
  <c r="C56" i="3"/>
  <c r="I56" i="3"/>
  <c r="C57" i="3"/>
  <c r="J57" i="3" s="1"/>
  <c r="I57" i="3"/>
  <c r="C58" i="3"/>
  <c r="I58" i="3"/>
  <c r="C48" i="3"/>
  <c r="D48" i="3" s="1"/>
  <c r="I48" i="3"/>
  <c r="C51" i="3"/>
  <c r="J51" i="3" s="1"/>
  <c r="I51" i="3"/>
  <c r="I52" i="3"/>
  <c r="C53" i="3"/>
  <c r="D53" i="3" s="1"/>
  <c r="I53" i="3"/>
  <c r="C61" i="3"/>
  <c r="J61" i="3" s="1"/>
  <c r="J60" i="3" s="1"/>
  <c r="I61" i="3"/>
  <c r="I60" i="3" s="1"/>
  <c r="C63" i="3"/>
  <c r="J63" i="3" s="1"/>
  <c r="I63" i="3"/>
  <c r="C79" i="3"/>
  <c r="M79" i="3" s="1"/>
  <c r="I79" i="3"/>
  <c r="C82" i="3"/>
  <c r="J82" i="3" s="1"/>
  <c r="I82" i="3"/>
  <c r="C83" i="3"/>
  <c r="D83" i="3" s="1"/>
  <c r="I83" i="3"/>
  <c r="C84" i="3"/>
  <c r="M84" i="3" s="1"/>
  <c r="I84" i="3"/>
  <c r="C85" i="3"/>
  <c r="J85" i="3" s="1"/>
  <c r="I85" i="3"/>
  <c r="C86" i="3"/>
  <c r="M86" i="3" s="1"/>
  <c r="I86" i="3"/>
  <c r="C74" i="3"/>
  <c r="D74" i="3" s="1"/>
  <c r="I74" i="3"/>
  <c r="C75" i="3"/>
  <c r="J75" i="3" s="1"/>
  <c r="I75" i="3"/>
  <c r="C76" i="3"/>
  <c r="I76" i="3"/>
  <c r="C77" i="3"/>
  <c r="J77" i="3" s="1"/>
  <c r="I77" i="3"/>
  <c r="C88" i="3"/>
  <c r="D88" i="3" s="1"/>
  <c r="I88" i="3"/>
  <c r="C90" i="3"/>
  <c r="M90" i="3" s="1"/>
  <c r="I90" i="3"/>
  <c r="C34" i="3"/>
  <c r="J34" i="3" s="1"/>
  <c r="I34" i="3"/>
  <c r="C36" i="3"/>
  <c r="M36" i="3" s="1"/>
  <c r="I36" i="3"/>
  <c r="C39" i="3"/>
  <c r="J39" i="3" s="1"/>
  <c r="I39" i="3"/>
  <c r="C40" i="3"/>
  <c r="M40" i="3" s="1"/>
  <c r="I40" i="3"/>
  <c r="C43" i="3"/>
  <c r="J43" i="3" s="1"/>
  <c r="I43" i="3"/>
  <c r="I42" i="3" s="1"/>
  <c r="C45" i="3"/>
  <c r="J45" i="3" s="1"/>
  <c r="I45" i="3"/>
  <c r="C66" i="3"/>
  <c r="J66" i="3" s="1"/>
  <c r="C67" i="3"/>
  <c r="C68" i="3"/>
  <c r="D68" i="3" s="1"/>
  <c r="C69" i="3"/>
  <c r="J69" i="3" s="1"/>
  <c r="C70" i="3"/>
  <c r="J70" i="3" s="1"/>
  <c r="I66" i="3"/>
  <c r="I67" i="3"/>
  <c r="I68" i="3"/>
  <c r="I69" i="3"/>
  <c r="I70" i="3"/>
  <c r="C94" i="3"/>
  <c r="J94" i="3" s="1"/>
  <c r="I94" i="3"/>
  <c r="C95" i="3"/>
  <c r="M95" i="3" s="1"/>
  <c r="I95" i="3"/>
  <c r="C96" i="3"/>
  <c r="D96" i="3" s="1"/>
  <c r="I96" i="3"/>
  <c r="C97" i="3"/>
  <c r="J97" i="3" s="1"/>
  <c r="I97" i="3"/>
  <c r="C98" i="3"/>
  <c r="J98" i="3" s="1"/>
  <c r="I98" i="3"/>
  <c r="C99" i="3"/>
  <c r="J99" i="3" s="1"/>
  <c r="I99" i="3"/>
  <c r="F101" i="3"/>
  <c r="C102" i="3"/>
  <c r="C101" i="3" s="1"/>
  <c r="B101" i="3"/>
  <c r="C104" i="3"/>
  <c r="M104" i="3" s="1"/>
  <c r="I104" i="3"/>
  <c r="C106" i="3"/>
  <c r="J106" i="3" s="1"/>
  <c r="I106" i="3"/>
  <c r="C108" i="3"/>
  <c r="I108" i="3"/>
  <c r="C112" i="3"/>
  <c r="J112" i="3" s="1"/>
  <c r="I112" i="3"/>
  <c r="C113" i="3"/>
  <c r="D113" i="3" s="1"/>
  <c r="I113" i="3"/>
  <c r="C114" i="3"/>
  <c r="I114" i="3"/>
  <c r="J116" i="3"/>
  <c r="I116" i="3"/>
  <c r="C118" i="3"/>
  <c r="M118" i="3" s="1"/>
  <c r="I118" i="3"/>
  <c r="C120" i="3"/>
  <c r="M120" i="3" s="1"/>
  <c r="I120" i="3"/>
  <c r="C122" i="3"/>
  <c r="M122" i="3" s="1"/>
  <c r="I122" i="3"/>
  <c r="C126" i="3"/>
  <c r="J126" i="3" s="1"/>
  <c r="J125" i="3" s="1"/>
  <c r="I126" i="3"/>
  <c r="J128" i="3"/>
  <c r="I128" i="3"/>
  <c r="C131" i="3"/>
  <c r="C130" i="3" s="1"/>
  <c r="I131" i="3"/>
  <c r="I130" i="3" s="1"/>
  <c r="C133" i="3"/>
  <c r="D133" i="3" s="1"/>
  <c r="I133" i="3"/>
  <c r="C135" i="3"/>
  <c r="J135" i="3" s="1"/>
  <c r="I135" i="3"/>
  <c r="L15" i="3"/>
  <c r="L14" i="3"/>
  <c r="L16" i="3"/>
  <c r="L17" i="3"/>
  <c r="L18" i="3"/>
  <c r="L19" i="3"/>
  <c r="L20" i="3"/>
  <c r="L21" i="3"/>
  <c r="L22" i="3"/>
  <c r="L23" i="3"/>
  <c r="L5" i="3"/>
  <c r="L6" i="3"/>
  <c r="L8" i="3"/>
  <c r="L4" i="3"/>
  <c r="L11" i="3"/>
  <c r="L10" i="3" s="1"/>
  <c r="L26" i="3"/>
  <c r="L27" i="3"/>
  <c r="L28" i="3"/>
  <c r="L29" i="3"/>
  <c r="G48" i="3"/>
  <c r="H48" i="3" s="1"/>
  <c r="G51" i="3"/>
  <c r="G52" i="3"/>
  <c r="H52" i="3" s="1"/>
  <c r="O52" i="3" s="1"/>
  <c r="G53" i="3"/>
  <c r="H53" i="3" s="1"/>
  <c r="O53" i="3" s="1"/>
  <c r="G56" i="3"/>
  <c r="H56" i="3" s="1"/>
  <c r="G57" i="3"/>
  <c r="G58" i="3"/>
  <c r="H58" i="3" s="1"/>
  <c r="O58" i="3" s="1"/>
  <c r="G61" i="3"/>
  <c r="H61" i="3" s="1"/>
  <c r="G63" i="3"/>
  <c r="L63" i="3" s="1"/>
  <c r="L79" i="3"/>
  <c r="L82" i="3"/>
  <c r="L83" i="3"/>
  <c r="L84" i="3"/>
  <c r="L85" i="3"/>
  <c r="L86" i="3"/>
  <c r="L74" i="3"/>
  <c r="L75" i="3"/>
  <c r="L76" i="3"/>
  <c r="L77" i="3"/>
  <c r="L88" i="3"/>
  <c r="L90" i="3"/>
  <c r="L34" i="3"/>
  <c r="L39" i="3"/>
  <c r="L40" i="3"/>
  <c r="L43" i="3"/>
  <c r="L42" i="3" s="1"/>
  <c r="L45" i="3"/>
  <c r="L66" i="3"/>
  <c r="L67" i="3"/>
  <c r="L68" i="3"/>
  <c r="L69" i="3"/>
  <c r="L94" i="3"/>
  <c r="L95" i="3"/>
  <c r="L96" i="3"/>
  <c r="L97" i="3"/>
  <c r="L98" i="3"/>
  <c r="L99" i="3"/>
  <c r="L102" i="3"/>
  <c r="L101" i="3" s="1"/>
  <c r="L104" i="3"/>
  <c r="L106" i="3"/>
  <c r="L108" i="3"/>
  <c r="L112" i="3"/>
  <c r="L113" i="3"/>
  <c r="L114" i="3"/>
  <c r="M116" i="3"/>
  <c r="L116" i="3"/>
  <c r="L118" i="3"/>
  <c r="L120" i="3"/>
  <c r="L122" i="3"/>
  <c r="L126" i="3"/>
  <c r="L125" i="3" s="1"/>
  <c r="M128" i="3"/>
  <c r="L128" i="3"/>
  <c r="L131" i="3"/>
  <c r="L130" i="3" s="1"/>
  <c r="L133" i="3"/>
  <c r="M135" i="3"/>
  <c r="L135" i="3"/>
  <c r="H15" i="3"/>
  <c r="O15" i="3" s="1"/>
  <c r="H14" i="3"/>
  <c r="O14" i="3" s="1"/>
  <c r="H16" i="3"/>
  <c r="H17" i="3"/>
  <c r="H18" i="3"/>
  <c r="H19" i="3"/>
  <c r="H20" i="3"/>
  <c r="H21" i="3"/>
  <c r="H22" i="3"/>
  <c r="H23" i="3"/>
  <c r="H5" i="3"/>
  <c r="H6" i="3"/>
  <c r="H8" i="3"/>
  <c r="O8" i="3" s="1"/>
  <c r="H4" i="3"/>
  <c r="H11" i="3"/>
  <c r="O11" i="3" s="1"/>
  <c r="O10" i="3" s="1"/>
  <c r="H26" i="3"/>
  <c r="O26" i="3" s="1"/>
  <c r="H27" i="3"/>
  <c r="O27" i="3" s="1"/>
  <c r="H28" i="3"/>
  <c r="H29" i="3"/>
  <c r="H31" i="3"/>
  <c r="H82" i="3"/>
  <c r="H83" i="3"/>
  <c r="H84" i="3"/>
  <c r="P84" i="3" s="1"/>
  <c r="H86" i="3"/>
  <c r="O86" i="3" s="1"/>
  <c r="O85" i="3"/>
  <c r="H88" i="3"/>
  <c r="H90" i="3"/>
  <c r="H74" i="3"/>
  <c r="H75" i="3"/>
  <c r="O75" i="3" s="1"/>
  <c r="H76" i="3"/>
  <c r="O76" i="3" s="1"/>
  <c r="H77" i="3"/>
  <c r="H79" i="3"/>
  <c r="O79" i="3" s="1"/>
  <c r="H34" i="3"/>
  <c r="H36" i="3"/>
  <c r="H39" i="3"/>
  <c r="H40" i="3"/>
  <c r="H43" i="3"/>
  <c r="H45" i="3"/>
  <c r="H66" i="3"/>
  <c r="O66" i="3" s="1"/>
  <c r="H67" i="3"/>
  <c r="O67" i="3" s="1"/>
  <c r="H68" i="3"/>
  <c r="H69" i="3"/>
  <c r="H70" i="3"/>
  <c r="O70" i="3" s="1"/>
  <c r="H94" i="3"/>
  <c r="H95" i="3"/>
  <c r="H96" i="3"/>
  <c r="O96" i="3" s="1"/>
  <c r="H97" i="3"/>
  <c r="H98" i="3"/>
  <c r="O98" i="3" s="1"/>
  <c r="H99" i="3"/>
  <c r="H102" i="3"/>
  <c r="O102" i="3" s="1"/>
  <c r="O101" i="3" s="1"/>
  <c r="H104" i="3"/>
  <c r="O104" i="3" s="1"/>
  <c r="H106" i="3"/>
  <c r="O106" i="3" s="1"/>
  <c r="H108" i="3"/>
  <c r="O108" i="3" s="1"/>
  <c r="H112" i="3"/>
  <c r="H113" i="3"/>
  <c r="H114" i="3"/>
  <c r="O114" i="3"/>
  <c r="H116" i="3"/>
  <c r="H118" i="3"/>
  <c r="O118" i="3" s="1"/>
  <c r="H120" i="3"/>
  <c r="H122" i="3"/>
  <c r="O122" i="3" s="1"/>
  <c r="H126" i="3"/>
  <c r="O126" i="3" s="1"/>
  <c r="O125" i="3" s="1"/>
  <c r="H128" i="3"/>
  <c r="P128" i="3" s="1"/>
  <c r="H131" i="3"/>
  <c r="O131" i="3" s="1"/>
  <c r="O130" i="3" s="1"/>
  <c r="H133" i="3"/>
  <c r="O133" i="3" s="1"/>
  <c r="H135" i="3"/>
  <c r="O135" i="3" s="1"/>
  <c r="B125" i="3"/>
  <c r="B130" i="3"/>
  <c r="B124" i="3" s="1"/>
  <c r="C124" i="3" s="1"/>
  <c r="B111" i="3"/>
  <c r="B110" i="3"/>
  <c r="B93" i="3"/>
  <c r="B73" i="3"/>
  <c r="B72" i="3" s="1"/>
  <c r="B65" i="3"/>
  <c r="C65" i="3" s="1"/>
  <c r="D65" i="3" s="1"/>
  <c r="B50" i="3"/>
  <c r="B55" i="3"/>
  <c r="B60" i="3"/>
  <c r="C60" i="3" s="1"/>
  <c r="D60" i="3" s="1"/>
  <c r="B38" i="3"/>
  <c r="C38" i="3" s="1"/>
  <c r="D38" i="3" s="1"/>
  <c r="B42" i="3"/>
  <c r="B3" i="3"/>
  <c r="B10" i="3"/>
  <c r="B13" i="3"/>
  <c r="B25" i="3"/>
  <c r="C25" i="3" s="1"/>
  <c r="D25" i="3" s="1"/>
  <c r="G130" i="3"/>
  <c r="F130" i="3"/>
  <c r="D128" i="3"/>
  <c r="G125" i="3"/>
  <c r="F125" i="3"/>
  <c r="D116" i="3"/>
  <c r="G111" i="3"/>
  <c r="F111" i="3"/>
  <c r="I102" i="3"/>
  <c r="G101" i="3"/>
  <c r="G93" i="3"/>
  <c r="F93" i="3"/>
  <c r="F81" i="3"/>
  <c r="F73" i="3"/>
  <c r="H73" i="3" s="1"/>
  <c r="F60" i="3"/>
  <c r="F55" i="3"/>
  <c r="F50" i="3"/>
  <c r="G42" i="3"/>
  <c r="F42" i="3"/>
  <c r="G38" i="3"/>
  <c r="F38" i="3"/>
  <c r="D34" i="3"/>
  <c r="G25" i="3"/>
  <c r="F25" i="3"/>
  <c r="G10" i="3"/>
  <c r="F10" i="3"/>
  <c r="G3" i="3"/>
  <c r="F3" i="3"/>
  <c r="L14" i="2"/>
  <c r="L18" i="2"/>
  <c r="L19" i="2"/>
  <c r="L20" i="2"/>
  <c r="L21" i="2"/>
  <c r="L22" i="2"/>
  <c r="L23" i="2"/>
  <c r="L15" i="2"/>
  <c r="L16" i="2"/>
  <c r="L11" i="2"/>
  <c r="L10" i="2" s="1"/>
  <c r="L5" i="2"/>
  <c r="L6" i="2"/>
  <c r="L4" i="2"/>
  <c r="L26" i="2"/>
  <c r="L27" i="2"/>
  <c r="L28" i="2"/>
  <c r="L29" i="2"/>
  <c r="D31" i="2"/>
  <c r="L43" i="2"/>
  <c r="L42" i="2" s="1"/>
  <c r="L39" i="2"/>
  <c r="L40" i="2"/>
  <c r="L45" i="2"/>
  <c r="L34" i="2"/>
  <c r="L83" i="2"/>
  <c r="M84" i="2"/>
  <c r="L84" i="2"/>
  <c r="L85" i="2"/>
  <c r="L86" i="2"/>
  <c r="L87" i="2"/>
  <c r="L88" i="2"/>
  <c r="L75" i="2"/>
  <c r="L76" i="2"/>
  <c r="L77" i="2"/>
  <c r="L78" i="2"/>
  <c r="O86" i="2"/>
  <c r="L80" i="2"/>
  <c r="L90" i="2"/>
  <c r="L92" i="2"/>
  <c r="L104" i="2"/>
  <c r="L103" i="2" s="1"/>
  <c r="L96" i="2"/>
  <c r="L97" i="2"/>
  <c r="L98" i="2"/>
  <c r="L99" i="2"/>
  <c r="L100" i="2"/>
  <c r="L101" i="2"/>
  <c r="L106" i="2"/>
  <c r="L108" i="2"/>
  <c r="L110" i="2"/>
  <c r="L114" i="2"/>
  <c r="L115" i="2"/>
  <c r="L116" i="2"/>
  <c r="L118" i="2"/>
  <c r="L120" i="2"/>
  <c r="L122" i="2"/>
  <c r="L124" i="2"/>
  <c r="M118" i="2"/>
  <c r="L133" i="2"/>
  <c r="L132" i="2" s="1"/>
  <c r="L128" i="2"/>
  <c r="L127" i="2" s="1"/>
  <c r="L130" i="2"/>
  <c r="L135" i="2"/>
  <c r="L137" i="2"/>
  <c r="M130" i="2"/>
  <c r="L68" i="2"/>
  <c r="L69" i="2"/>
  <c r="L70" i="2"/>
  <c r="L67" i="2"/>
  <c r="D45" i="2"/>
  <c r="D40" i="2"/>
  <c r="B13" i="2"/>
  <c r="B10" i="2"/>
  <c r="F10" i="2"/>
  <c r="B127" i="2"/>
  <c r="B132" i="2"/>
  <c r="B113" i="2"/>
  <c r="B112" i="2" s="1"/>
  <c r="C112" i="2" s="1"/>
  <c r="B95" i="2"/>
  <c r="B74" i="2"/>
  <c r="B73" i="2" s="1"/>
  <c r="C73" i="2" s="1"/>
  <c r="B66" i="2"/>
  <c r="B50" i="2"/>
  <c r="B55" i="2"/>
  <c r="B61" i="2"/>
  <c r="C61" i="2" s="1"/>
  <c r="D61" i="2" s="1"/>
  <c r="B38" i="2"/>
  <c r="B42" i="2"/>
  <c r="B25" i="2"/>
  <c r="C25" i="2" s="1"/>
  <c r="D25" i="2" s="1"/>
  <c r="G132" i="2"/>
  <c r="D130" i="2"/>
  <c r="G127" i="2"/>
  <c r="D118" i="2"/>
  <c r="G113" i="2"/>
  <c r="F113" i="2"/>
  <c r="D106" i="2"/>
  <c r="I104" i="2"/>
  <c r="G103" i="2"/>
  <c r="G95" i="2"/>
  <c r="F95" i="2"/>
  <c r="F82" i="2"/>
  <c r="C82" i="2"/>
  <c r="D82" i="2" s="1"/>
  <c r="F74" i="2"/>
  <c r="H74" i="2" s="1"/>
  <c r="F61" i="2"/>
  <c r="F55" i="2"/>
  <c r="F50" i="2"/>
  <c r="G42" i="2"/>
  <c r="F42" i="2"/>
  <c r="G38" i="2"/>
  <c r="F38" i="2"/>
  <c r="G25" i="2"/>
  <c r="F25" i="2"/>
  <c r="G10" i="2"/>
  <c r="G3" i="2"/>
  <c r="F3" i="2"/>
  <c r="D67" i="2" l="1"/>
  <c r="N118" i="2"/>
  <c r="M19" i="2"/>
  <c r="D88" i="2"/>
  <c r="M57" i="2"/>
  <c r="P84" i="2"/>
  <c r="M5" i="2"/>
  <c r="N5" i="2" s="1"/>
  <c r="J23" i="2"/>
  <c r="K23" i="2" s="1"/>
  <c r="B3" i="2"/>
  <c r="B2" i="2" s="1"/>
  <c r="C2" i="2" s="1"/>
  <c r="D2" i="2" s="1"/>
  <c r="L8" i="2"/>
  <c r="M67" i="2"/>
  <c r="M23" i="2"/>
  <c r="N23" i="2" s="1"/>
  <c r="D48" i="2"/>
  <c r="J20" i="2"/>
  <c r="K20" i="2" s="1"/>
  <c r="I8" i="2"/>
  <c r="I140" i="2" s="1"/>
  <c r="D95" i="3"/>
  <c r="J68" i="3"/>
  <c r="K68" i="3" s="1"/>
  <c r="P112" i="3"/>
  <c r="J31" i="3"/>
  <c r="D97" i="3"/>
  <c r="P108" i="3"/>
  <c r="Q108" i="3" s="1"/>
  <c r="D70" i="3"/>
  <c r="P70" i="3"/>
  <c r="Q70" i="3" s="1"/>
  <c r="H63" i="3"/>
  <c r="O63" i="3" s="1"/>
  <c r="M113" i="3"/>
  <c r="P122" i="3"/>
  <c r="Q122" i="3" s="1"/>
  <c r="L111" i="3"/>
  <c r="L110" i="3" s="1"/>
  <c r="M70" i="3"/>
  <c r="P22" i="3"/>
  <c r="K51" i="3"/>
  <c r="D51" i="3"/>
  <c r="D50" i="3" s="1"/>
  <c r="M88" i="3"/>
  <c r="N88" i="3" s="1"/>
  <c r="M22" i="3"/>
  <c r="J22" i="3"/>
  <c r="M51" i="3"/>
  <c r="K82" i="3"/>
  <c r="D28" i="3"/>
  <c r="D61" i="3"/>
  <c r="D135" i="3"/>
  <c r="M39" i="3"/>
  <c r="M38" i="3" s="1"/>
  <c r="M75" i="3"/>
  <c r="P114" i="3"/>
  <c r="P5" i="3"/>
  <c r="K94" i="3"/>
  <c r="J79" i="3"/>
  <c r="K79" i="3" s="1"/>
  <c r="D14" i="3"/>
  <c r="K70" i="3"/>
  <c r="M15" i="2"/>
  <c r="N15" i="2" s="1"/>
  <c r="J120" i="3"/>
  <c r="K120" i="3" s="1"/>
  <c r="J90" i="3"/>
  <c r="K90" i="3" s="1"/>
  <c r="M17" i="2"/>
  <c r="J16" i="2"/>
  <c r="D104" i="3"/>
  <c r="L70" i="3"/>
  <c r="N70" i="3" s="1"/>
  <c r="K69" i="3"/>
  <c r="P88" i="2"/>
  <c r="M28" i="2"/>
  <c r="N28" i="2" s="1"/>
  <c r="D16" i="3"/>
  <c r="D27" i="3"/>
  <c r="D63" i="3"/>
  <c r="D99" i="3"/>
  <c r="P69" i="3"/>
  <c r="D22" i="2"/>
  <c r="M88" i="2"/>
  <c r="N88" i="2" s="1"/>
  <c r="D69" i="3"/>
  <c r="P113" i="3"/>
  <c r="P29" i="3"/>
  <c r="M99" i="3"/>
  <c r="N99" i="3" s="1"/>
  <c r="M69" i="3"/>
  <c r="N69" i="3" s="1"/>
  <c r="M57" i="3"/>
  <c r="J113" i="3"/>
  <c r="K113" i="3" s="1"/>
  <c r="J17" i="2"/>
  <c r="K17" i="2" s="1"/>
  <c r="K5" i="3"/>
  <c r="N60" i="12"/>
  <c r="M144" i="12"/>
  <c r="I49" i="12"/>
  <c r="K57" i="12"/>
  <c r="L75" i="12"/>
  <c r="N134" i="12"/>
  <c r="I95" i="12"/>
  <c r="Q17" i="12"/>
  <c r="M83" i="12"/>
  <c r="N83" i="12" s="1"/>
  <c r="D19" i="2"/>
  <c r="K56" i="2"/>
  <c r="D87" i="2"/>
  <c r="M22" i="2"/>
  <c r="N22" i="2" s="1"/>
  <c r="D15" i="2"/>
  <c r="P67" i="2"/>
  <c r="P78" i="2"/>
  <c r="D128" i="2"/>
  <c r="D127" i="2" s="1"/>
  <c r="K70" i="2"/>
  <c r="D110" i="2"/>
  <c r="D78" i="2"/>
  <c r="H52" i="2"/>
  <c r="O52" i="2" s="1"/>
  <c r="D16" i="2"/>
  <c r="P104" i="2"/>
  <c r="P103" i="2" s="1"/>
  <c r="O88" i="2"/>
  <c r="M78" i="2"/>
  <c r="P40" i="2"/>
  <c r="Q40" i="2" s="1"/>
  <c r="D92" i="2"/>
  <c r="J86" i="2"/>
  <c r="K86" i="2" s="1"/>
  <c r="C32" i="13"/>
  <c r="M70" i="2"/>
  <c r="N70" i="2" s="1"/>
  <c r="P100" i="2"/>
  <c r="Q100" i="2" s="1"/>
  <c r="K98" i="2"/>
  <c r="P6" i="2"/>
  <c r="P92" i="2"/>
  <c r="J106" i="2"/>
  <c r="K106" i="2" s="1"/>
  <c r="K58" i="2"/>
  <c r="M92" i="2"/>
  <c r="N92" i="2" s="1"/>
  <c r="P26" i="2"/>
  <c r="D108" i="2"/>
  <c r="D26" i="2"/>
  <c r="D116" i="2"/>
  <c r="M124" i="2"/>
  <c r="N124" i="2" s="1"/>
  <c r="M98" i="2"/>
  <c r="N98" i="2" s="1"/>
  <c r="M85" i="2"/>
  <c r="N85" i="2" s="1"/>
  <c r="M40" i="2"/>
  <c r="N40" i="2" s="1"/>
  <c r="J99" i="2"/>
  <c r="K99" i="2" s="1"/>
  <c r="C111" i="3"/>
  <c r="D77" i="3"/>
  <c r="H101" i="3"/>
  <c r="P85" i="3"/>
  <c r="Q85" i="3" s="1"/>
  <c r="P18" i="3"/>
  <c r="M68" i="3"/>
  <c r="N68" i="3" s="1"/>
  <c r="D29" i="3"/>
  <c r="H125" i="3"/>
  <c r="P94" i="3"/>
  <c r="P75" i="3"/>
  <c r="Q75" i="3" s="1"/>
  <c r="L58" i="3"/>
  <c r="N122" i="3"/>
  <c r="J108" i="3"/>
  <c r="K108" i="3" s="1"/>
  <c r="K97" i="3"/>
  <c r="I55" i="3"/>
  <c r="J26" i="3"/>
  <c r="K26" i="3" s="1"/>
  <c r="K57" i="3"/>
  <c r="M26" i="3"/>
  <c r="J95" i="3"/>
  <c r="K95" i="3" s="1"/>
  <c r="N90" i="3"/>
  <c r="N79" i="3"/>
  <c r="J20" i="3"/>
  <c r="K20" i="3" s="1"/>
  <c r="H57" i="3"/>
  <c r="J104" i="3"/>
  <c r="K104" i="3" s="1"/>
  <c r="K23" i="3"/>
  <c r="K106" i="3"/>
  <c r="P104" i="3"/>
  <c r="Q104" i="3" s="1"/>
  <c r="P77" i="3"/>
  <c r="M106" i="3"/>
  <c r="M34" i="3"/>
  <c r="N34" i="3" s="1"/>
  <c r="K98" i="3"/>
  <c r="J36" i="3"/>
  <c r="K36" i="3" s="1"/>
  <c r="J88" i="3"/>
  <c r="K88" i="3" s="1"/>
  <c r="D82" i="3"/>
  <c r="H111" i="3"/>
  <c r="D40" i="3"/>
  <c r="D122" i="3"/>
  <c r="D131" i="3"/>
  <c r="D130" i="3" s="1"/>
  <c r="P16" i="3"/>
  <c r="M131" i="3"/>
  <c r="M130" i="3" s="1"/>
  <c r="N130" i="3" s="1"/>
  <c r="M108" i="3"/>
  <c r="N108" i="3" s="1"/>
  <c r="N118" i="3"/>
  <c r="I111" i="3"/>
  <c r="I110" i="3" s="1"/>
  <c r="C55" i="3"/>
  <c r="C50" i="3"/>
  <c r="G60" i="3"/>
  <c r="H60" i="3" s="1"/>
  <c r="D75" i="3"/>
  <c r="D106" i="3"/>
  <c r="B92" i="3"/>
  <c r="C92" i="3" s="1"/>
  <c r="D92" i="3" s="1"/>
  <c r="O84" i="3"/>
  <c r="Q84" i="3" s="1"/>
  <c r="N116" i="3"/>
  <c r="N106" i="3"/>
  <c r="M97" i="3"/>
  <c r="N97" i="3" s="1"/>
  <c r="M17" i="3"/>
  <c r="N17" i="3" s="1"/>
  <c r="J122" i="3"/>
  <c r="K122" i="3" s="1"/>
  <c r="K116" i="3"/>
  <c r="K112" i="3"/>
  <c r="N104" i="3"/>
  <c r="J40" i="3"/>
  <c r="J38" i="3" s="1"/>
  <c r="K77" i="3"/>
  <c r="J86" i="3"/>
  <c r="K86" i="3" s="1"/>
  <c r="J27" i="3"/>
  <c r="J8" i="3"/>
  <c r="K8" i="3" s="1"/>
  <c r="J17" i="3"/>
  <c r="K17" i="3" s="1"/>
  <c r="J15" i="3"/>
  <c r="K15" i="3" s="1"/>
  <c r="D66" i="3"/>
  <c r="D31" i="3"/>
  <c r="L31" i="3" s="1"/>
  <c r="N95" i="3"/>
  <c r="I50" i="3"/>
  <c r="D8" i="3"/>
  <c r="D85" i="3"/>
  <c r="D31" i="13" s="1"/>
  <c r="P66" i="3"/>
  <c r="Q66" i="3" s="1"/>
  <c r="P90" i="3"/>
  <c r="P52" i="3"/>
  <c r="Q52" i="3" s="1"/>
  <c r="M15" i="3"/>
  <c r="N15" i="3" s="1"/>
  <c r="K128" i="3"/>
  <c r="K45" i="3"/>
  <c r="K75" i="3"/>
  <c r="J52" i="3"/>
  <c r="K52" i="3" s="1"/>
  <c r="K85" i="3"/>
  <c r="M82" i="3"/>
  <c r="N82" i="3" s="1"/>
  <c r="N84" i="3"/>
  <c r="K66" i="3"/>
  <c r="D86" i="3"/>
  <c r="D118" i="3"/>
  <c r="H81" i="3"/>
  <c r="M66" i="3"/>
  <c r="N66" i="3" s="1"/>
  <c r="D90" i="3"/>
  <c r="D120" i="3"/>
  <c r="O128" i="3"/>
  <c r="Q128" i="3" s="1"/>
  <c r="P106" i="3"/>
  <c r="Q106" i="3" s="1"/>
  <c r="P6" i="3"/>
  <c r="P17" i="3"/>
  <c r="L73" i="3"/>
  <c r="L53" i="3"/>
  <c r="J118" i="3"/>
  <c r="K118" i="3" s="1"/>
  <c r="K43" i="3"/>
  <c r="K42" i="3" s="1"/>
  <c r="I81" i="3"/>
  <c r="J21" i="3"/>
  <c r="K21" i="3" s="1"/>
  <c r="P61" i="3"/>
  <c r="P60" i="3" s="1"/>
  <c r="O61" i="3"/>
  <c r="O60" i="3" s="1"/>
  <c r="P56" i="3"/>
  <c r="O56" i="3"/>
  <c r="C10" i="3"/>
  <c r="D10" i="3" s="1"/>
  <c r="B47" i="3"/>
  <c r="C47" i="3" s="1"/>
  <c r="D47" i="3" s="1"/>
  <c r="M114" i="3"/>
  <c r="N114" i="3" s="1"/>
  <c r="D5" i="3"/>
  <c r="D114" i="3"/>
  <c r="M133" i="3"/>
  <c r="M126" i="3"/>
  <c r="M125" i="3" s="1"/>
  <c r="N125" i="3" s="1"/>
  <c r="L81" i="3"/>
  <c r="L61" i="3"/>
  <c r="L60" i="3" s="1"/>
  <c r="M5" i="3"/>
  <c r="N5" i="3" s="1"/>
  <c r="D39" i="3"/>
  <c r="G50" i="3"/>
  <c r="H50" i="3" s="1"/>
  <c r="D84" i="3"/>
  <c r="D108" i="3"/>
  <c r="P118" i="3"/>
  <c r="Q118" i="3" s="1"/>
  <c r="O112" i="3"/>
  <c r="Q112" i="3" s="1"/>
  <c r="P31" i="3"/>
  <c r="N75" i="3"/>
  <c r="M83" i="3"/>
  <c r="N83" i="3" s="1"/>
  <c r="M61" i="3"/>
  <c r="M60" i="3" s="1"/>
  <c r="L56" i="3"/>
  <c r="M18" i="3"/>
  <c r="N18" i="3" s="1"/>
  <c r="K135" i="3"/>
  <c r="J114" i="3"/>
  <c r="K114" i="3" s="1"/>
  <c r="J84" i="3"/>
  <c r="K84" i="3" s="1"/>
  <c r="J48" i="3"/>
  <c r="K48" i="3" s="1"/>
  <c r="N28" i="3"/>
  <c r="J19" i="3"/>
  <c r="K19" i="3" s="1"/>
  <c r="K16" i="3"/>
  <c r="D19" i="3"/>
  <c r="D45" i="3"/>
  <c r="P39" i="3"/>
  <c r="P86" i="3"/>
  <c r="Q86" i="3" s="1"/>
  <c r="P21" i="3"/>
  <c r="N113" i="3"/>
  <c r="M21" i="3"/>
  <c r="N21" i="3" s="1"/>
  <c r="J131" i="3"/>
  <c r="J130" i="3" s="1"/>
  <c r="I65" i="3"/>
  <c r="K63" i="3"/>
  <c r="G55" i="3"/>
  <c r="H55" i="3" s="1"/>
  <c r="D112" i="3"/>
  <c r="B33" i="3"/>
  <c r="P36" i="3"/>
  <c r="H51" i="3"/>
  <c r="N135" i="3"/>
  <c r="L51" i="3"/>
  <c r="I93" i="3"/>
  <c r="P43" i="3"/>
  <c r="P42" i="3" s="1"/>
  <c r="N120" i="3"/>
  <c r="D36" i="3"/>
  <c r="L36" i="3" s="1"/>
  <c r="P14" i="3"/>
  <c r="Q14" i="3" s="1"/>
  <c r="D79" i="3"/>
  <c r="C125" i="3"/>
  <c r="O113" i="3"/>
  <c r="Q113" i="3" s="1"/>
  <c r="O94" i="3"/>
  <c r="L57" i="3"/>
  <c r="D4" i="3"/>
  <c r="D57" i="3"/>
  <c r="H92" i="3"/>
  <c r="P67" i="3"/>
  <c r="P34" i="3"/>
  <c r="H72" i="3"/>
  <c r="O48" i="3"/>
  <c r="M112" i="3"/>
  <c r="N112" i="3" s="1"/>
  <c r="M43" i="3"/>
  <c r="M42" i="3" s="1"/>
  <c r="M77" i="3"/>
  <c r="N77" i="3" s="1"/>
  <c r="N20" i="3"/>
  <c r="P95" i="3"/>
  <c r="O95" i="3"/>
  <c r="G47" i="3"/>
  <c r="M48" i="3"/>
  <c r="L48" i="3"/>
  <c r="M98" i="3"/>
  <c r="N98" i="3" s="1"/>
  <c r="D98" i="3"/>
  <c r="K14" i="3"/>
  <c r="J7" i="3"/>
  <c r="K7" i="3" s="1"/>
  <c r="D7" i="3"/>
  <c r="C110" i="3"/>
  <c r="D110" i="3" s="1"/>
  <c r="P120" i="3"/>
  <c r="O120" i="3"/>
  <c r="P83" i="3"/>
  <c r="O83" i="3"/>
  <c r="N133" i="3"/>
  <c r="P102" i="3"/>
  <c r="D102" i="3"/>
  <c r="D101" i="3" s="1"/>
  <c r="J102" i="3"/>
  <c r="K102" i="3" s="1"/>
  <c r="C13" i="3"/>
  <c r="P116" i="3"/>
  <c r="O116" i="3"/>
  <c r="H110" i="3"/>
  <c r="P96" i="3"/>
  <c r="Q96" i="3" s="1"/>
  <c r="M14" i="3"/>
  <c r="N14" i="3" s="1"/>
  <c r="D67" i="3"/>
  <c r="M67" i="3"/>
  <c r="P48" i="3"/>
  <c r="J56" i="3"/>
  <c r="D56" i="3"/>
  <c r="M56" i="3"/>
  <c r="D20" i="3"/>
  <c r="H65" i="3"/>
  <c r="P79" i="3"/>
  <c r="Q79" i="3" s="1"/>
  <c r="P76" i="3"/>
  <c r="Q76" i="3" s="1"/>
  <c r="P88" i="3"/>
  <c r="O88" i="3"/>
  <c r="P20" i="3"/>
  <c r="J96" i="3"/>
  <c r="K96" i="3" s="1"/>
  <c r="D94" i="3"/>
  <c r="M94" i="3"/>
  <c r="N94" i="3" s="1"/>
  <c r="C93" i="3"/>
  <c r="D76" i="3"/>
  <c r="J76" i="3"/>
  <c r="K76" i="3" s="1"/>
  <c r="M76" i="3"/>
  <c r="N76" i="3" s="1"/>
  <c r="K61" i="3"/>
  <c r="K60" i="3" s="1"/>
  <c r="M11" i="3"/>
  <c r="N11" i="3" s="1"/>
  <c r="N10" i="3" s="1"/>
  <c r="D11" i="3"/>
  <c r="C3" i="3"/>
  <c r="P68" i="3"/>
  <c r="O68" i="3"/>
  <c r="O77" i="3"/>
  <c r="P74" i="3"/>
  <c r="O74" i="3"/>
  <c r="O82" i="3"/>
  <c r="P82" i="3"/>
  <c r="N86" i="3"/>
  <c r="K126" i="3"/>
  <c r="I125" i="3"/>
  <c r="K125" i="3" s="1"/>
  <c r="I101" i="3"/>
  <c r="J101" i="3"/>
  <c r="J83" i="3"/>
  <c r="J58" i="3"/>
  <c r="K58" i="3" s="1"/>
  <c r="M58" i="3"/>
  <c r="N58" i="3" s="1"/>
  <c r="P131" i="3"/>
  <c r="P130" i="3" s="1"/>
  <c r="Q130" i="3" s="1"/>
  <c r="H130" i="3"/>
  <c r="P98" i="3"/>
  <c r="Q98" i="3" s="1"/>
  <c r="D58" i="3"/>
  <c r="C72" i="3"/>
  <c r="D72" i="3" s="1"/>
  <c r="D124" i="3"/>
  <c r="P97" i="3"/>
  <c r="O97" i="3"/>
  <c r="O69" i="3"/>
  <c r="O90" i="3"/>
  <c r="M52" i="3"/>
  <c r="L52" i="3"/>
  <c r="J133" i="3"/>
  <c r="K133" i="3" s="1"/>
  <c r="I73" i="3"/>
  <c r="M53" i="3"/>
  <c r="P53" i="3"/>
  <c r="Q53" i="3" s="1"/>
  <c r="J53" i="3"/>
  <c r="M6" i="3"/>
  <c r="J6" i="3"/>
  <c r="K6" i="3" s="1"/>
  <c r="D6" i="3"/>
  <c r="D23" i="3"/>
  <c r="M23" i="3"/>
  <c r="N23" i="3" s="1"/>
  <c r="D18" i="3"/>
  <c r="B2" i="3"/>
  <c r="P58" i="3"/>
  <c r="Q58" i="3" s="1"/>
  <c r="M102" i="3"/>
  <c r="M96" i="3"/>
  <c r="N96" i="3" s="1"/>
  <c r="D126" i="3"/>
  <c r="D125" i="3" s="1"/>
  <c r="P126" i="3"/>
  <c r="P125" i="3" s="1"/>
  <c r="Q125" i="3" s="1"/>
  <c r="J67" i="3"/>
  <c r="C42" i="3"/>
  <c r="D43" i="3"/>
  <c r="D42" i="3" s="1"/>
  <c r="M74" i="3"/>
  <c r="C73" i="3"/>
  <c r="J74" i="3"/>
  <c r="C31" i="13"/>
  <c r="M85" i="3"/>
  <c r="J28" i="3"/>
  <c r="K28" i="3" s="1"/>
  <c r="P40" i="3"/>
  <c r="P4" i="3"/>
  <c r="P19" i="3"/>
  <c r="N128" i="3"/>
  <c r="L93" i="3"/>
  <c r="L92" i="3" s="1"/>
  <c r="M45" i="3"/>
  <c r="N45" i="3" s="1"/>
  <c r="M4" i="3"/>
  <c r="N4" i="3" s="1"/>
  <c r="P28" i="3"/>
  <c r="P23" i="3"/>
  <c r="K22" i="3"/>
  <c r="P7" i="3"/>
  <c r="M63" i="3"/>
  <c r="N63" i="3" s="1"/>
  <c r="M29" i="3"/>
  <c r="P135" i="3"/>
  <c r="Q135" i="3" s="1"/>
  <c r="P45" i="3"/>
  <c r="N131" i="3"/>
  <c r="M16" i="3"/>
  <c r="N16" i="3" s="1"/>
  <c r="H10" i="2"/>
  <c r="L38" i="3"/>
  <c r="N7" i="3"/>
  <c r="O18" i="3"/>
  <c r="N40" i="3"/>
  <c r="N8" i="3"/>
  <c r="P8" i="3"/>
  <c r="Q8" i="3" s="1"/>
  <c r="J42" i="3"/>
  <c r="I38" i="3"/>
  <c r="I33" i="3" s="1"/>
  <c r="K39" i="3"/>
  <c r="K18" i="3"/>
  <c r="K4" i="3"/>
  <c r="N26" i="3"/>
  <c r="N22" i="3"/>
  <c r="O36" i="3"/>
  <c r="K34" i="3"/>
  <c r="K31" i="3"/>
  <c r="K29" i="3"/>
  <c r="P26" i="3"/>
  <c r="Q26" i="3" s="1"/>
  <c r="O17" i="3"/>
  <c r="P11" i="3"/>
  <c r="P10" i="3" s="1"/>
  <c r="Q10" i="3" s="1"/>
  <c r="I3" i="3"/>
  <c r="N40" i="12"/>
  <c r="Q15" i="12"/>
  <c r="K11" i="3"/>
  <c r="K10" i="3" s="1"/>
  <c r="H10" i="3"/>
  <c r="J10" i="3"/>
  <c r="K99" i="3"/>
  <c r="P8" i="2"/>
  <c r="Q8" i="2" s="1"/>
  <c r="N4" i="2"/>
  <c r="H25" i="2"/>
  <c r="I141" i="2"/>
  <c r="H42" i="3"/>
  <c r="L25" i="3"/>
  <c r="N27" i="3"/>
  <c r="N19" i="3"/>
  <c r="P15" i="3"/>
  <c r="Q15" i="3" s="1"/>
  <c r="O5" i="3"/>
  <c r="H38" i="3"/>
  <c r="O31" i="3"/>
  <c r="I25" i="3"/>
  <c r="P27" i="3"/>
  <c r="H25" i="3"/>
  <c r="O22" i="3"/>
  <c r="I139" i="3"/>
  <c r="H13" i="3"/>
  <c r="I13" i="3"/>
  <c r="O6" i="3"/>
  <c r="H3" i="3"/>
  <c r="I138" i="3"/>
  <c r="O4" i="3"/>
  <c r="K52" i="12"/>
  <c r="L35" i="12"/>
  <c r="B142" i="12"/>
  <c r="I146" i="12" s="1"/>
  <c r="I145" i="12"/>
  <c r="C2" i="12"/>
  <c r="D2" i="12" s="1"/>
  <c r="D142" i="12" s="1"/>
  <c r="O99" i="3"/>
  <c r="H93" i="3"/>
  <c r="P99" i="3"/>
  <c r="Q78" i="12"/>
  <c r="L143" i="12"/>
  <c r="P96" i="12"/>
  <c r="P95" i="12" s="1"/>
  <c r="K15" i="12"/>
  <c r="K13" i="12" s="1"/>
  <c r="J144" i="12"/>
  <c r="Q117" i="12"/>
  <c r="N61" i="12"/>
  <c r="K11" i="12"/>
  <c r="Q31" i="12"/>
  <c r="Q42" i="12"/>
  <c r="Q23" i="12"/>
  <c r="Q18" i="12"/>
  <c r="Q102" i="12"/>
  <c r="N59" i="12"/>
  <c r="M57" i="12"/>
  <c r="P76" i="12"/>
  <c r="M52" i="12"/>
  <c r="Q87" i="12"/>
  <c r="Q79" i="12"/>
  <c r="Q30" i="12"/>
  <c r="Q20" i="12"/>
  <c r="Q88" i="12"/>
  <c r="Q29" i="12"/>
  <c r="P40" i="12"/>
  <c r="P35" i="12" s="1"/>
  <c r="Q98" i="12"/>
  <c r="Q85" i="12"/>
  <c r="Q118" i="12"/>
  <c r="P134" i="12"/>
  <c r="P128" i="12" s="1"/>
  <c r="P83" i="12"/>
  <c r="Q136" i="12"/>
  <c r="N66" i="12"/>
  <c r="I2" i="12"/>
  <c r="Q100" i="12"/>
  <c r="Q99" i="12"/>
  <c r="Q86" i="12"/>
  <c r="N55" i="12"/>
  <c r="Q7" i="12"/>
  <c r="Q89" i="12"/>
  <c r="N54" i="12"/>
  <c r="Q24" i="12"/>
  <c r="Q16" i="12"/>
  <c r="D3" i="12"/>
  <c r="J3" i="12"/>
  <c r="K3" i="12" s="1"/>
  <c r="Q101" i="12"/>
  <c r="P68" i="12"/>
  <c r="Q68" i="12" s="1"/>
  <c r="Q5" i="12"/>
  <c r="M3" i="12"/>
  <c r="N3" i="12" s="1"/>
  <c r="P137" i="2"/>
  <c r="Q137" i="2" s="1"/>
  <c r="O128" i="2"/>
  <c r="O127" i="2" s="1"/>
  <c r="P19" i="2"/>
  <c r="Q19" i="2" s="1"/>
  <c r="L74" i="2"/>
  <c r="P18" i="2"/>
  <c r="Q18" i="2" s="1"/>
  <c r="P21" i="2"/>
  <c r="K108" i="2"/>
  <c r="L31" i="2"/>
  <c r="K15" i="2"/>
  <c r="K19" i="2"/>
  <c r="D124" i="2"/>
  <c r="B94" i="2"/>
  <c r="C94" i="2" s="1"/>
  <c r="D94" i="2" s="1"/>
  <c r="O84" i="2"/>
  <c r="Q84" i="2" s="1"/>
  <c r="J101" i="2"/>
  <c r="J4" i="2"/>
  <c r="K4" i="2" s="1"/>
  <c r="K132" i="2"/>
  <c r="K100" i="2"/>
  <c r="D98" i="2"/>
  <c r="I55" i="2"/>
  <c r="K26" i="2"/>
  <c r="D70" i="2"/>
  <c r="M96" i="2"/>
  <c r="N96" i="2" s="1"/>
  <c r="M56" i="2"/>
  <c r="M26" i="2"/>
  <c r="N26" i="2" s="1"/>
  <c r="O26" i="2"/>
  <c r="C103" i="2"/>
  <c r="J103" i="2" s="1"/>
  <c r="D56" i="2"/>
  <c r="P98" i="2"/>
  <c r="I113" i="2"/>
  <c r="I112" i="2" s="1"/>
  <c r="L56" i="2"/>
  <c r="D75" i="2"/>
  <c r="M116" i="2"/>
  <c r="N116" i="2" s="1"/>
  <c r="M101" i="2"/>
  <c r="N101" i="2" s="1"/>
  <c r="P77" i="2"/>
  <c r="Q77" i="2" s="1"/>
  <c r="J96" i="2"/>
  <c r="K96" i="2" s="1"/>
  <c r="C50" i="2"/>
  <c r="I38" i="2"/>
  <c r="I33" i="2" s="1"/>
  <c r="O103" i="2"/>
  <c r="H61" i="2"/>
  <c r="M97" i="2"/>
  <c r="N97" i="2" s="1"/>
  <c r="I95" i="2"/>
  <c r="M114" i="2"/>
  <c r="H103" i="2"/>
  <c r="D4" i="2"/>
  <c r="D62" i="2"/>
  <c r="D114" i="2"/>
  <c r="O67" i="2"/>
  <c r="O92" i="2"/>
  <c r="P80" i="2"/>
  <c r="Q80" i="2" s="1"/>
  <c r="L82" i="2"/>
  <c r="P83" i="2"/>
  <c r="D120" i="2"/>
  <c r="D137" i="2"/>
  <c r="D11" i="2"/>
  <c r="D18" i="2"/>
  <c r="D86" i="2"/>
  <c r="D32" i="13" s="1"/>
  <c r="M108" i="2"/>
  <c r="N108" i="2" s="1"/>
  <c r="O78" i="2"/>
  <c r="M59" i="2"/>
  <c r="N59" i="2" s="1"/>
  <c r="M8" i="2"/>
  <c r="M20" i="2"/>
  <c r="N20" i="2" s="1"/>
  <c r="P76" i="2"/>
  <c r="P108" i="2"/>
  <c r="P97" i="2"/>
  <c r="H113" i="2"/>
  <c r="K115" i="2"/>
  <c r="J97" i="2"/>
  <c r="K97" i="2" s="1"/>
  <c r="J83" i="2"/>
  <c r="K83" i="2" s="1"/>
  <c r="I74" i="2"/>
  <c r="P45" i="2"/>
  <c r="Q45" i="2" s="1"/>
  <c r="K40" i="2"/>
  <c r="J18" i="2"/>
  <c r="N19" i="2"/>
  <c r="C95" i="2"/>
  <c r="H59" i="2"/>
  <c r="O59" i="2" s="1"/>
  <c r="M137" i="2"/>
  <c r="N137" i="2" s="1"/>
  <c r="P116" i="2"/>
  <c r="Q116" i="2" s="1"/>
  <c r="M11" i="2"/>
  <c r="M10" i="2" s="1"/>
  <c r="P101" i="2"/>
  <c r="Q101" i="2" s="1"/>
  <c r="K110" i="2"/>
  <c r="I13" i="2"/>
  <c r="K118" i="2"/>
  <c r="M83" i="2"/>
  <c r="N83" i="2" s="1"/>
  <c r="L17" i="2"/>
  <c r="P120" i="2"/>
  <c r="K92" i="2"/>
  <c r="L113" i="2"/>
  <c r="L112" i="2" s="1"/>
  <c r="K16" i="2"/>
  <c r="K7" i="2"/>
  <c r="D76" i="2"/>
  <c r="H3" i="2"/>
  <c r="C10" i="2"/>
  <c r="D10" i="2" s="1"/>
  <c r="D99" i="2"/>
  <c r="P70" i="2"/>
  <c r="Q70" i="2" s="1"/>
  <c r="P124" i="2"/>
  <c r="Q124" i="2" s="1"/>
  <c r="C74" i="2"/>
  <c r="B126" i="2"/>
  <c r="C126" i="2" s="1"/>
  <c r="D5" i="2"/>
  <c r="D58" i="2"/>
  <c r="M128" i="2"/>
  <c r="M127" i="2" s="1"/>
  <c r="N127" i="2" s="1"/>
  <c r="P86" i="2"/>
  <c r="Q86" i="2" s="1"/>
  <c r="N78" i="2"/>
  <c r="M87" i="2"/>
  <c r="N87" i="2" s="1"/>
  <c r="M64" i="2"/>
  <c r="K130" i="2"/>
  <c r="J8" i="2"/>
  <c r="O53" i="2"/>
  <c r="P53" i="2"/>
  <c r="D115" i="2"/>
  <c r="P128" i="2"/>
  <c r="P127" i="2" s="1"/>
  <c r="P85" i="2"/>
  <c r="Q85" i="2" s="1"/>
  <c r="M86" i="2"/>
  <c r="N86" i="2" s="1"/>
  <c r="L3" i="2"/>
  <c r="H48" i="2"/>
  <c r="O48" i="2" s="1"/>
  <c r="K120" i="2"/>
  <c r="K88" i="2"/>
  <c r="K76" i="2"/>
  <c r="K53" i="2"/>
  <c r="K28" i="2"/>
  <c r="N16" i="2"/>
  <c r="H42" i="2"/>
  <c r="B47" i="2"/>
  <c r="D53" i="2"/>
  <c r="N67" i="2"/>
  <c r="M104" i="2"/>
  <c r="L64" i="2"/>
  <c r="L53" i="2"/>
  <c r="M45" i="2"/>
  <c r="N45" i="2" s="1"/>
  <c r="M6" i="2"/>
  <c r="N6" i="2" s="1"/>
  <c r="J128" i="2"/>
  <c r="J85" i="2"/>
  <c r="K85" i="2" s="1"/>
  <c r="P31" i="2"/>
  <c r="Q31" i="2" s="1"/>
  <c r="J21" i="2"/>
  <c r="K21" i="2" s="1"/>
  <c r="J6" i="2"/>
  <c r="K6" i="2" s="1"/>
  <c r="M53" i="2"/>
  <c r="C113" i="2"/>
  <c r="K87" i="2"/>
  <c r="K11" i="2"/>
  <c r="K10" i="2" s="1"/>
  <c r="D8" i="2"/>
  <c r="J10" i="2"/>
  <c r="M135" i="2"/>
  <c r="N135" i="2" s="1"/>
  <c r="M120" i="2"/>
  <c r="N120" i="2" s="1"/>
  <c r="P115" i="2"/>
  <c r="Q115" i="2" s="1"/>
  <c r="N99" i="2"/>
  <c r="O108" i="2"/>
  <c r="O97" i="2"/>
  <c r="N84" i="2"/>
  <c r="M48" i="2"/>
  <c r="N48" i="2" s="1"/>
  <c r="D7" i="2"/>
  <c r="P4" i="2"/>
  <c r="Q4" i="2" s="1"/>
  <c r="H66" i="2"/>
  <c r="K78" i="2"/>
  <c r="J51" i="2"/>
  <c r="K51" i="2" s="1"/>
  <c r="K5" i="2"/>
  <c r="C13" i="2"/>
  <c r="L126" i="2"/>
  <c r="O98" i="2"/>
  <c r="I50" i="2"/>
  <c r="C3" i="2"/>
  <c r="D135" i="2"/>
  <c r="N130" i="2"/>
  <c r="O76" i="2"/>
  <c r="D36" i="2"/>
  <c r="L36" i="2" s="1"/>
  <c r="H126" i="2"/>
  <c r="N106" i="2"/>
  <c r="K22" i="2"/>
  <c r="M21" i="2"/>
  <c r="N21" i="2" s="1"/>
  <c r="J104" i="2"/>
  <c r="K104" i="2" s="1"/>
  <c r="D28" i="2"/>
  <c r="P135" i="2"/>
  <c r="Q135" i="2" s="1"/>
  <c r="M115" i="2"/>
  <c r="N115" i="2" s="1"/>
  <c r="L95" i="2"/>
  <c r="L94" i="2" s="1"/>
  <c r="M76" i="2"/>
  <c r="N76" i="2" s="1"/>
  <c r="M36" i="2"/>
  <c r="P28" i="2"/>
  <c r="Q28" i="2" s="1"/>
  <c r="M7" i="2"/>
  <c r="N7" i="2" s="1"/>
  <c r="I66" i="2"/>
  <c r="K36" i="2"/>
  <c r="P22" i="2"/>
  <c r="Q22" i="2" s="1"/>
  <c r="P11" i="2"/>
  <c r="O11" i="2"/>
  <c r="O10" i="2" s="1"/>
  <c r="M90" i="2"/>
  <c r="N90" i="2" s="1"/>
  <c r="P90" i="2"/>
  <c r="Q90" i="2" s="1"/>
  <c r="D90" i="2"/>
  <c r="J27" i="2"/>
  <c r="K27" i="2" s="1"/>
  <c r="D27" i="2"/>
  <c r="K67" i="2"/>
  <c r="P15" i="2"/>
  <c r="O15" i="2"/>
  <c r="J34" i="2"/>
  <c r="M34" i="2"/>
  <c r="N34" i="2" s="1"/>
  <c r="M39" i="2"/>
  <c r="N39" i="2" s="1"/>
  <c r="D39" i="2"/>
  <c r="N18" i="2"/>
  <c r="H2" i="2"/>
  <c r="H13" i="2"/>
  <c r="P39" i="2"/>
  <c r="O39" i="2"/>
  <c r="O38" i="2" s="1"/>
  <c r="H57" i="2"/>
  <c r="L57" i="2"/>
  <c r="G55" i="2"/>
  <c r="H55" i="2" s="1"/>
  <c r="M51" i="2"/>
  <c r="H51" i="2"/>
  <c r="L51" i="2"/>
  <c r="G50" i="2"/>
  <c r="H50" i="2" s="1"/>
  <c r="K137" i="2"/>
  <c r="D133" i="2"/>
  <c r="D132" i="2" s="1"/>
  <c r="C132" i="2"/>
  <c r="M133" i="2"/>
  <c r="J90" i="2"/>
  <c r="K90" i="2" s="1"/>
  <c r="K84" i="2"/>
  <c r="J69" i="2"/>
  <c r="K69" i="2" s="1"/>
  <c r="P69" i="2"/>
  <c r="Q69" i="2" s="1"/>
  <c r="M69" i="2"/>
  <c r="N69" i="2" s="1"/>
  <c r="D69" i="2"/>
  <c r="J52" i="2"/>
  <c r="K52" i="2" s="1"/>
  <c r="D52" i="2"/>
  <c r="M52" i="2"/>
  <c r="N52" i="2" s="1"/>
  <c r="K45" i="2"/>
  <c r="N75" i="2"/>
  <c r="M27" i="2"/>
  <c r="N27" i="2" s="1"/>
  <c r="H112" i="2"/>
  <c r="P114" i="2"/>
  <c r="O114" i="2"/>
  <c r="O113" i="2" s="1"/>
  <c r="J113" i="2"/>
  <c r="K114" i="2"/>
  <c r="I103" i="2"/>
  <c r="I25" i="2"/>
  <c r="C38" i="2"/>
  <c r="D38" i="2" s="1"/>
  <c r="B33" i="2"/>
  <c r="J68" i="2"/>
  <c r="K68" i="2" s="1"/>
  <c r="M68" i="2"/>
  <c r="N68" i="2" s="1"/>
  <c r="P68" i="2"/>
  <c r="D112" i="2"/>
  <c r="P34" i="2"/>
  <c r="Q34" i="2" s="1"/>
  <c r="P96" i="2"/>
  <c r="O96" i="2"/>
  <c r="H94" i="2"/>
  <c r="H95" i="2"/>
  <c r="J80" i="2"/>
  <c r="K80" i="2" s="1"/>
  <c r="M80" i="2"/>
  <c r="N80" i="2" s="1"/>
  <c r="D34" i="2"/>
  <c r="K133" i="2"/>
  <c r="C66" i="2"/>
  <c r="D66" i="2" s="1"/>
  <c r="O87" i="2"/>
  <c r="P87" i="2"/>
  <c r="K124" i="2"/>
  <c r="J61" i="2"/>
  <c r="K62" i="2"/>
  <c r="K61" i="2" s="1"/>
  <c r="J39" i="2"/>
  <c r="M58" i="2"/>
  <c r="L58" i="2"/>
  <c r="H58" i="2"/>
  <c r="M71" i="2"/>
  <c r="P71" i="2"/>
  <c r="Q71" i="2" s="1"/>
  <c r="C55" i="2"/>
  <c r="D71" i="2"/>
  <c r="L71" i="2" s="1"/>
  <c r="L66" i="2" s="1"/>
  <c r="O120" i="2"/>
  <c r="P106" i="2"/>
  <c r="Q106" i="2" s="1"/>
  <c r="M77" i="2"/>
  <c r="N77" i="2" s="1"/>
  <c r="J77" i="2"/>
  <c r="K77" i="2" s="1"/>
  <c r="M14" i="2"/>
  <c r="N14" i="2" s="1"/>
  <c r="D14" i="2"/>
  <c r="P14" i="2"/>
  <c r="Q14" i="2" s="1"/>
  <c r="D73" i="2"/>
  <c r="P56" i="2"/>
  <c r="P7" i="2"/>
  <c r="O7" i="2"/>
  <c r="G47" i="2"/>
  <c r="K135" i="2"/>
  <c r="I126" i="2"/>
  <c r="M122" i="2"/>
  <c r="N122" i="2" s="1"/>
  <c r="P122" i="2"/>
  <c r="Q122" i="2" s="1"/>
  <c r="J122" i="2"/>
  <c r="K122" i="2" s="1"/>
  <c r="M100" i="2"/>
  <c r="N100" i="2" s="1"/>
  <c r="D100" i="2"/>
  <c r="M29" i="2"/>
  <c r="N29" i="2" s="1"/>
  <c r="P29" i="2"/>
  <c r="Q29" i="2" s="1"/>
  <c r="J29" i="2"/>
  <c r="K29" i="2" s="1"/>
  <c r="L38" i="2"/>
  <c r="H62" i="2"/>
  <c r="M62" i="2"/>
  <c r="L62" i="2"/>
  <c r="L61" i="2" s="1"/>
  <c r="O133" i="2"/>
  <c r="O132" i="2" s="1"/>
  <c r="P133" i="2"/>
  <c r="P75" i="2"/>
  <c r="J75" i="2"/>
  <c r="J64" i="2"/>
  <c r="K64" i="2" s="1"/>
  <c r="P64" i="2"/>
  <c r="Q64" i="2" s="1"/>
  <c r="K48" i="2"/>
  <c r="M43" i="2"/>
  <c r="D43" i="2"/>
  <c r="D42" i="2" s="1"/>
  <c r="C42" i="2"/>
  <c r="J43" i="2"/>
  <c r="P43" i="2"/>
  <c r="K14" i="2"/>
  <c r="H38" i="2"/>
  <c r="H73" i="2"/>
  <c r="H82" i="2"/>
  <c r="O83" i="2"/>
  <c r="P99" i="2"/>
  <c r="O99" i="2"/>
  <c r="P118" i="2"/>
  <c r="O118" i="2"/>
  <c r="O130" i="2"/>
  <c r="P130" i="2"/>
  <c r="P110" i="2"/>
  <c r="Q110" i="2" s="1"/>
  <c r="M110" i="2"/>
  <c r="N110" i="2" s="1"/>
  <c r="I82" i="2"/>
  <c r="J71" i="2"/>
  <c r="K71" i="2" s="1"/>
  <c r="J59" i="2"/>
  <c r="K59" i="2" s="1"/>
  <c r="J57" i="2"/>
  <c r="J31" i="2"/>
  <c r="K31" i="2" s="1"/>
  <c r="M31" i="2"/>
  <c r="P16" i="2"/>
  <c r="Q16" i="2" s="1"/>
  <c r="P27" i="2"/>
  <c r="Q27" i="2" s="1"/>
  <c r="P36" i="2"/>
  <c r="H124" i="3"/>
  <c r="P133" i="3"/>
  <c r="Q133" i="3" s="1"/>
  <c r="L124" i="3"/>
  <c r="N27" i="12"/>
  <c r="P27" i="12"/>
  <c r="Q25" i="12"/>
  <c r="Q22" i="12"/>
  <c r="Q21" i="12"/>
  <c r="Q19" i="12"/>
  <c r="Q6" i="12"/>
  <c r="P3" i="12"/>
  <c r="O3" i="12"/>
  <c r="O36" i="2"/>
  <c r="H33" i="2"/>
  <c r="L25" i="2"/>
  <c r="P23" i="2"/>
  <c r="Q23" i="2" s="1"/>
  <c r="O21" i="2"/>
  <c r="O20" i="2"/>
  <c r="Q20" i="2" s="1"/>
  <c r="O6" i="2"/>
  <c r="O5" i="2"/>
  <c r="P5" i="2"/>
  <c r="O45" i="3"/>
  <c r="O43" i="3"/>
  <c r="O42" i="3" s="1"/>
  <c r="O40" i="3"/>
  <c r="O39" i="3"/>
  <c r="O34" i="3"/>
  <c r="O29" i="3"/>
  <c r="O28" i="3"/>
  <c r="O23" i="3"/>
  <c r="O21" i="3"/>
  <c r="O20" i="3"/>
  <c r="O19" i="3"/>
  <c r="L13" i="3"/>
  <c r="O16" i="3"/>
  <c r="L3" i="3"/>
  <c r="O7" i="3"/>
  <c r="O134" i="12"/>
  <c r="K135" i="12"/>
  <c r="J134" i="12"/>
  <c r="K134" i="12" s="1"/>
  <c r="K130" i="12"/>
  <c r="J129" i="12"/>
  <c r="Q135" i="12"/>
  <c r="Q129" i="12"/>
  <c r="Q130" i="12"/>
  <c r="N129" i="12"/>
  <c r="M128" i="12"/>
  <c r="N128" i="12" s="1"/>
  <c r="Q116" i="12"/>
  <c r="O114" i="12"/>
  <c r="O113" i="12" s="1"/>
  <c r="K115" i="12"/>
  <c r="J114" i="12"/>
  <c r="D114" i="12"/>
  <c r="O96" i="12"/>
  <c r="O95" i="12" s="1"/>
  <c r="K97" i="12"/>
  <c r="J96" i="12"/>
  <c r="D96" i="12"/>
  <c r="O83" i="12"/>
  <c r="K84" i="12"/>
  <c r="J83" i="12"/>
  <c r="K83" i="12" s="1"/>
  <c r="O76" i="12"/>
  <c r="K77" i="12"/>
  <c r="J76" i="12"/>
  <c r="D76" i="12"/>
  <c r="N73" i="12"/>
  <c r="N69" i="12"/>
  <c r="M68" i="12"/>
  <c r="N68" i="12" s="1"/>
  <c r="K69" i="12"/>
  <c r="J68" i="12"/>
  <c r="K68" i="12" s="1"/>
  <c r="P114" i="12"/>
  <c r="Q115" i="12"/>
  <c r="N114" i="12"/>
  <c r="M113" i="12"/>
  <c r="N113" i="12" s="1"/>
  <c r="Q104" i="12"/>
  <c r="Q105" i="12"/>
  <c r="K104" i="12"/>
  <c r="Q97" i="12"/>
  <c r="N96" i="12"/>
  <c r="M95" i="12"/>
  <c r="N95" i="12" s="1"/>
  <c r="Q84" i="12"/>
  <c r="Q77" i="12"/>
  <c r="N76" i="12"/>
  <c r="P66" i="12"/>
  <c r="Q66" i="12" s="1"/>
  <c r="P64" i="12"/>
  <c r="O64" i="12"/>
  <c r="O63" i="12" s="1"/>
  <c r="N64" i="12"/>
  <c r="M63" i="12"/>
  <c r="N63" i="12" s="1"/>
  <c r="P61" i="12"/>
  <c r="O61" i="12"/>
  <c r="P60" i="12"/>
  <c r="O60" i="12"/>
  <c r="P59" i="12"/>
  <c r="O59" i="12"/>
  <c r="L57" i="12"/>
  <c r="P58" i="12"/>
  <c r="O58" i="12"/>
  <c r="D57" i="12"/>
  <c r="P55" i="12"/>
  <c r="O55" i="12"/>
  <c r="P54" i="12"/>
  <c r="O54" i="12"/>
  <c r="L52" i="12"/>
  <c r="L49" i="12" s="1"/>
  <c r="P53" i="12"/>
  <c r="O53" i="12"/>
  <c r="D52" i="12"/>
  <c r="K50" i="12"/>
  <c r="J49" i="12"/>
  <c r="O50" i="12"/>
  <c r="H49" i="12"/>
  <c r="K45" i="12"/>
  <c r="J44" i="12"/>
  <c r="K44" i="12" s="1"/>
  <c r="O40" i="12"/>
  <c r="O35" i="12" s="1"/>
  <c r="K41" i="12"/>
  <c r="J40" i="12"/>
  <c r="K40" i="12" s="1"/>
  <c r="N38" i="12"/>
  <c r="N36" i="12"/>
  <c r="M35" i="12"/>
  <c r="K36" i="12"/>
  <c r="N33" i="12"/>
  <c r="N144" i="12" s="1"/>
  <c r="K33" i="13" s="1"/>
  <c r="O27" i="12"/>
  <c r="K28" i="12"/>
  <c r="J27" i="12"/>
  <c r="K27" i="12" s="1"/>
  <c r="L2" i="12"/>
  <c r="P14" i="12"/>
  <c r="O14" i="12"/>
  <c r="O13" i="12" s="1"/>
  <c r="H2" i="12"/>
  <c r="K4" i="12"/>
  <c r="N58" i="12"/>
  <c r="N53" i="12"/>
  <c r="N50" i="12"/>
  <c r="P50" i="12"/>
  <c r="Q44" i="12"/>
  <c r="Q45" i="12"/>
  <c r="Q41" i="12"/>
  <c r="Q28" i="12"/>
  <c r="N13" i="12"/>
  <c r="N14" i="12"/>
  <c r="J13" i="12"/>
  <c r="Q10" i="12"/>
  <c r="Q11" i="12"/>
  <c r="K10" i="12"/>
  <c r="Q4" i="12"/>
  <c r="H33" i="3"/>
  <c r="H2" i="3"/>
  <c r="N57" i="2" l="1"/>
  <c r="I3" i="2"/>
  <c r="N8" i="2"/>
  <c r="Q88" i="2"/>
  <c r="P52" i="2"/>
  <c r="Q52" i="2" s="1"/>
  <c r="K8" i="2"/>
  <c r="K3" i="2" s="1"/>
  <c r="P59" i="2"/>
  <c r="Q59" i="2" s="1"/>
  <c r="Q22" i="3"/>
  <c r="P111" i="3"/>
  <c r="P110" i="3" s="1"/>
  <c r="Q90" i="3"/>
  <c r="N39" i="3"/>
  <c r="N38" i="3" s="1"/>
  <c r="D111" i="3"/>
  <c r="K40" i="3"/>
  <c r="I47" i="3"/>
  <c r="H47" i="3"/>
  <c r="O124" i="3"/>
  <c r="P63" i="3"/>
  <c r="Q63" i="3" s="1"/>
  <c r="N57" i="3"/>
  <c r="N51" i="3"/>
  <c r="L65" i="3"/>
  <c r="Q114" i="3"/>
  <c r="M111" i="3"/>
  <c r="M110" i="3" s="1"/>
  <c r="Q5" i="3"/>
  <c r="M25" i="3"/>
  <c r="I72" i="3"/>
  <c r="Q78" i="2"/>
  <c r="D55" i="2"/>
  <c r="O65" i="3"/>
  <c r="Q94" i="3"/>
  <c r="I92" i="3"/>
  <c r="Q69" i="3"/>
  <c r="Q77" i="3"/>
  <c r="J124" i="3"/>
  <c r="Q108" i="2"/>
  <c r="K93" i="3"/>
  <c r="D73" i="3"/>
  <c r="Q18" i="3"/>
  <c r="Q16" i="3"/>
  <c r="Q6" i="3"/>
  <c r="Q28" i="3"/>
  <c r="J25" i="3"/>
  <c r="K27" i="3"/>
  <c r="K25" i="3" s="1"/>
  <c r="Q23" i="3"/>
  <c r="C142" i="12"/>
  <c r="M147" i="12" s="1"/>
  <c r="K49" i="12"/>
  <c r="I142" i="12"/>
  <c r="N147" i="12"/>
  <c r="L147" i="12"/>
  <c r="M75" i="12"/>
  <c r="N75" i="12" s="1"/>
  <c r="I147" i="12"/>
  <c r="N57" i="12"/>
  <c r="Q104" i="2"/>
  <c r="I47" i="2"/>
  <c r="Q103" i="2"/>
  <c r="D13" i="2"/>
  <c r="Q26" i="2"/>
  <c r="Q25" i="2" s="1"/>
  <c r="Q92" i="2"/>
  <c r="Q67" i="2"/>
  <c r="N56" i="2"/>
  <c r="P38" i="2"/>
  <c r="I73" i="2"/>
  <c r="L50" i="2"/>
  <c r="L73" i="2"/>
  <c r="M113" i="2"/>
  <c r="M112" i="2" s="1"/>
  <c r="D74" i="2"/>
  <c r="P48" i="2"/>
  <c r="Q48" i="2" s="1"/>
  <c r="Q6" i="2"/>
  <c r="L140" i="2"/>
  <c r="D95" i="2"/>
  <c r="L139" i="3"/>
  <c r="N31" i="3"/>
  <c r="D13" i="3"/>
  <c r="P38" i="3"/>
  <c r="P33" i="3" s="1"/>
  <c r="L72" i="3"/>
  <c r="K131" i="3"/>
  <c r="N126" i="3"/>
  <c r="O57" i="3"/>
  <c r="O55" i="3" s="1"/>
  <c r="P57" i="3"/>
  <c r="J3" i="3"/>
  <c r="L50" i="3"/>
  <c r="N61" i="3"/>
  <c r="N60" i="3" s="1"/>
  <c r="M124" i="3"/>
  <c r="J139" i="3"/>
  <c r="Q31" i="3"/>
  <c r="Q17" i="3"/>
  <c r="Q56" i="3"/>
  <c r="Q7" i="3"/>
  <c r="J13" i="3"/>
  <c r="N53" i="3"/>
  <c r="Q61" i="3"/>
  <c r="Q60" i="3" s="1"/>
  <c r="K101" i="3"/>
  <c r="P65" i="3"/>
  <c r="K111" i="3"/>
  <c r="K110" i="3" s="1"/>
  <c r="N36" i="3"/>
  <c r="L138" i="3"/>
  <c r="E31" i="13" s="1"/>
  <c r="Q111" i="3"/>
  <c r="C33" i="3"/>
  <c r="D33" i="3" s="1"/>
  <c r="M139" i="3"/>
  <c r="O73" i="3"/>
  <c r="Q67" i="3"/>
  <c r="O111" i="3"/>
  <c r="O110" i="3" s="1"/>
  <c r="N43" i="3"/>
  <c r="N42" i="3" s="1"/>
  <c r="O93" i="3"/>
  <c r="O92" i="3" s="1"/>
  <c r="Q36" i="3"/>
  <c r="M3" i="3"/>
  <c r="O51" i="3"/>
  <c r="P51" i="3"/>
  <c r="P50" i="3" s="1"/>
  <c r="M10" i="3"/>
  <c r="B137" i="3"/>
  <c r="N111" i="3"/>
  <c r="N110" i="3" s="1"/>
  <c r="M13" i="3"/>
  <c r="M33" i="3"/>
  <c r="L33" i="3"/>
  <c r="K130" i="3"/>
  <c r="K124" i="3" s="1"/>
  <c r="Q20" i="3"/>
  <c r="K38" i="3"/>
  <c r="K33" i="3" s="1"/>
  <c r="N93" i="3"/>
  <c r="J111" i="3"/>
  <c r="J110" i="3" s="1"/>
  <c r="Q21" i="3"/>
  <c r="Q40" i="3"/>
  <c r="D3" i="3"/>
  <c r="O81" i="3"/>
  <c r="L55" i="3"/>
  <c r="Q124" i="3"/>
  <c r="N52" i="3"/>
  <c r="M50" i="3"/>
  <c r="K56" i="3"/>
  <c r="K55" i="3" s="1"/>
  <c r="J55" i="3"/>
  <c r="Q88" i="3"/>
  <c r="Q48" i="3"/>
  <c r="K53" i="3"/>
  <c r="K50" i="3" s="1"/>
  <c r="J50" i="3"/>
  <c r="P73" i="3"/>
  <c r="Q74" i="3"/>
  <c r="N67" i="3"/>
  <c r="M65" i="3"/>
  <c r="Q131" i="3"/>
  <c r="N124" i="3"/>
  <c r="M81" i="3"/>
  <c r="N85" i="3"/>
  <c r="N81" i="3" s="1"/>
  <c r="Q97" i="3"/>
  <c r="M93" i="3"/>
  <c r="N56" i="3"/>
  <c r="M55" i="3"/>
  <c r="Q116" i="3"/>
  <c r="Q19" i="3"/>
  <c r="Q45" i="3"/>
  <c r="I124" i="3"/>
  <c r="J93" i="3"/>
  <c r="J92" i="3" s="1"/>
  <c r="K67" i="3"/>
  <c r="J65" i="3"/>
  <c r="K65" i="3" s="1"/>
  <c r="C2" i="3"/>
  <c r="D2" i="3" s="1"/>
  <c r="Q82" i="3"/>
  <c r="P81" i="3"/>
  <c r="Q81" i="3" s="1"/>
  <c r="D55" i="3"/>
  <c r="Q83" i="3"/>
  <c r="Q95" i="3"/>
  <c r="N29" i="3"/>
  <c r="N25" i="3" s="1"/>
  <c r="Q120" i="3"/>
  <c r="M138" i="3"/>
  <c r="N6" i="3"/>
  <c r="N3" i="3" s="1"/>
  <c r="N74" i="3"/>
  <c r="N73" i="3" s="1"/>
  <c r="M73" i="3"/>
  <c r="M72" i="3" s="1"/>
  <c r="N102" i="3"/>
  <c r="N101" i="3" s="1"/>
  <c r="M101" i="3"/>
  <c r="K74" i="3"/>
  <c r="K73" i="3" s="1"/>
  <c r="J73" i="3"/>
  <c r="Q126" i="3"/>
  <c r="Q4" i="3"/>
  <c r="J81" i="3"/>
  <c r="K83" i="3"/>
  <c r="K81" i="3" s="1"/>
  <c r="D93" i="3"/>
  <c r="P101" i="3"/>
  <c r="Q101" i="3" s="1"/>
  <c r="Q102" i="3"/>
  <c r="N48" i="3"/>
  <c r="J138" i="3"/>
  <c r="Q68" i="3"/>
  <c r="E33" i="13"/>
  <c r="J13" i="2"/>
  <c r="P3" i="3"/>
  <c r="J33" i="3"/>
  <c r="P13" i="3"/>
  <c r="Q11" i="3"/>
  <c r="K3" i="3"/>
  <c r="P25" i="3"/>
  <c r="N13" i="3"/>
  <c r="O25" i="3"/>
  <c r="I2" i="3"/>
  <c r="N35" i="12"/>
  <c r="M141" i="2"/>
  <c r="N31" i="2"/>
  <c r="O25" i="2"/>
  <c r="Q21" i="2"/>
  <c r="I142" i="2"/>
  <c r="J141" i="2"/>
  <c r="Q15" i="2"/>
  <c r="M140" i="2"/>
  <c r="Q27" i="3"/>
  <c r="O38" i="3"/>
  <c r="O33" i="3" s="1"/>
  <c r="Q29" i="3"/>
  <c r="K13" i="3"/>
  <c r="I140" i="3"/>
  <c r="N17" i="2"/>
  <c r="N13" i="2" s="1"/>
  <c r="L141" i="2"/>
  <c r="M143" i="12"/>
  <c r="J143" i="12"/>
  <c r="J145" i="12" s="1"/>
  <c r="K101" i="2"/>
  <c r="J140" i="2"/>
  <c r="Q99" i="3"/>
  <c r="P93" i="3"/>
  <c r="N143" i="12"/>
  <c r="K144" i="12"/>
  <c r="L145" i="12"/>
  <c r="L146" i="12"/>
  <c r="K143" i="12"/>
  <c r="Q83" i="12"/>
  <c r="Q76" i="12"/>
  <c r="P75" i="12"/>
  <c r="Q134" i="12"/>
  <c r="J35" i="12"/>
  <c r="K35" i="12" s="1"/>
  <c r="M49" i="12"/>
  <c r="N49" i="12" s="1"/>
  <c r="Q95" i="12"/>
  <c r="O52" i="12"/>
  <c r="O57" i="12"/>
  <c r="O128" i="12"/>
  <c r="Q128" i="12" s="1"/>
  <c r="M2" i="12"/>
  <c r="Q96" i="12"/>
  <c r="O75" i="12"/>
  <c r="N52" i="12"/>
  <c r="L142" i="12"/>
  <c r="V4" i="20" s="1"/>
  <c r="N3" i="2"/>
  <c r="Q118" i="2"/>
  <c r="O66" i="2"/>
  <c r="Q120" i="2"/>
  <c r="N71" i="2"/>
  <c r="J95" i="2"/>
  <c r="J94" i="2" s="1"/>
  <c r="B139" i="2"/>
  <c r="I143" i="2" s="1"/>
  <c r="Q98" i="2"/>
  <c r="Q127" i="2"/>
  <c r="N38" i="2"/>
  <c r="J25" i="2"/>
  <c r="I94" i="2"/>
  <c r="L33" i="2"/>
  <c r="D113" i="2"/>
  <c r="P25" i="2"/>
  <c r="N114" i="2"/>
  <c r="N113" i="2" s="1"/>
  <c r="N112" i="2" s="1"/>
  <c r="K113" i="2"/>
  <c r="K112" i="2" s="1"/>
  <c r="N11" i="2"/>
  <c r="N10" i="2" s="1"/>
  <c r="K18" i="2"/>
  <c r="K13" i="2" s="1"/>
  <c r="N64" i="2"/>
  <c r="M3" i="2"/>
  <c r="O74" i="2"/>
  <c r="Q128" i="2"/>
  <c r="J3" i="2"/>
  <c r="N58" i="2"/>
  <c r="I2" i="2"/>
  <c r="K82" i="2"/>
  <c r="N128" i="2"/>
  <c r="J82" i="2"/>
  <c r="D50" i="2"/>
  <c r="D3" i="2"/>
  <c r="O33" i="2"/>
  <c r="N25" i="2"/>
  <c r="L13" i="2"/>
  <c r="L2" i="2" s="1"/>
  <c r="Q130" i="2"/>
  <c r="D126" i="2"/>
  <c r="Q97" i="2"/>
  <c r="Q53" i="2"/>
  <c r="N36" i="2"/>
  <c r="M38" i="2"/>
  <c r="Q76" i="2"/>
  <c r="N104" i="2"/>
  <c r="N103" i="2" s="1"/>
  <c r="M103" i="2"/>
  <c r="M25" i="2"/>
  <c r="K25" i="2"/>
  <c r="M95" i="2"/>
  <c r="J127" i="2"/>
  <c r="K128" i="2"/>
  <c r="O95" i="2"/>
  <c r="O94" i="2" s="1"/>
  <c r="M13" i="2"/>
  <c r="M74" i="2"/>
  <c r="N53" i="2"/>
  <c r="C47" i="2"/>
  <c r="D47" i="2" s="1"/>
  <c r="M82" i="2"/>
  <c r="Q39" i="2"/>
  <c r="Q38" i="2" s="1"/>
  <c r="N82" i="2"/>
  <c r="O112" i="2"/>
  <c r="M50" i="2"/>
  <c r="N51" i="2"/>
  <c r="Q7" i="2"/>
  <c r="K39" i="2"/>
  <c r="K38" i="2" s="1"/>
  <c r="J38" i="2"/>
  <c r="O3" i="2"/>
  <c r="P58" i="2"/>
  <c r="O58" i="2"/>
  <c r="Q87" i="2"/>
  <c r="P82" i="2"/>
  <c r="K103" i="2"/>
  <c r="K50" i="2"/>
  <c r="Q99" i="2"/>
  <c r="Q43" i="2"/>
  <c r="Q42" i="2" s="1"/>
  <c r="P42" i="2"/>
  <c r="K75" i="2"/>
  <c r="K74" i="2" s="1"/>
  <c r="J74" i="2"/>
  <c r="M61" i="2"/>
  <c r="N62" i="2"/>
  <c r="N61" i="2" s="1"/>
  <c r="Q68" i="2"/>
  <c r="P66" i="2"/>
  <c r="N74" i="2"/>
  <c r="O51" i="2"/>
  <c r="O50" i="2" s="1"/>
  <c r="P51" i="2"/>
  <c r="H47" i="2"/>
  <c r="J66" i="2"/>
  <c r="K66" i="2" s="1"/>
  <c r="K43" i="2"/>
  <c r="K42" i="2" s="1"/>
  <c r="J42" i="2"/>
  <c r="Q75" i="2"/>
  <c r="P74" i="2"/>
  <c r="J112" i="2"/>
  <c r="O17" i="2"/>
  <c r="O13" i="2" s="1"/>
  <c r="P17" i="2"/>
  <c r="M132" i="2"/>
  <c r="N133" i="2"/>
  <c r="P132" i="2"/>
  <c r="Q133" i="2"/>
  <c r="Q36" i="2"/>
  <c r="J55" i="2"/>
  <c r="K57" i="2"/>
  <c r="K55" i="2" s="1"/>
  <c r="N43" i="2"/>
  <c r="N42" i="2" s="1"/>
  <c r="M42" i="2"/>
  <c r="Q56" i="2"/>
  <c r="M55" i="2"/>
  <c r="P57" i="2"/>
  <c r="O57" i="2"/>
  <c r="O126" i="2"/>
  <c r="O82" i="2"/>
  <c r="Q83" i="2"/>
  <c r="O62" i="2"/>
  <c r="O61" i="2" s="1"/>
  <c r="P62" i="2"/>
  <c r="C33" i="2"/>
  <c r="K34" i="2"/>
  <c r="L55" i="2"/>
  <c r="Q96" i="2"/>
  <c r="P95" i="2"/>
  <c r="P94" i="2" s="1"/>
  <c r="M66" i="2"/>
  <c r="N66" i="2" s="1"/>
  <c r="P113" i="2"/>
  <c r="P112" i="2" s="1"/>
  <c r="Q114" i="2"/>
  <c r="Q113" i="2" s="1"/>
  <c r="N95" i="2"/>
  <c r="J50" i="2"/>
  <c r="P10" i="2"/>
  <c r="Q10" i="2" s="1"/>
  <c r="Q11" i="2"/>
  <c r="P124" i="3"/>
  <c r="Q40" i="12"/>
  <c r="Q35" i="12"/>
  <c r="Q27" i="12"/>
  <c r="O2" i="12"/>
  <c r="Q3" i="12"/>
  <c r="Q5" i="2"/>
  <c r="P3" i="2"/>
  <c r="Q43" i="3"/>
  <c r="Q42" i="3" s="1"/>
  <c r="Q39" i="3"/>
  <c r="Q34" i="3"/>
  <c r="O13" i="3"/>
  <c r="L2" i="3"/>
  <c r="O3" i="3"/>
  <c r="Q50" i="12"/>
  <c r="J2" i="12"/>
  <c r="Q14" i="12"/>
  <c r="P13" i="12"/>
  <c r="Q53" i="12"/>
  <c r="P52" i="12"/>
  <c r="Q54" i="12"/>
  <c r="Q55" i="12"/>
  <c r="Q58" i="12"/>
  <c r="P57" i="12"/>
  <c r="Q59" i="12"/>
  <c r="Q60" i="12"/>
  <c r="Q61" i="12"/>
  <c r="Q64" i="12"/>
  <c r="P63" i="12"/>
  <c r="Q63" i="12" s="1"/>
  <c r="Q114" i="12"/>
  <c r="P113" i="12"/>
  <c r="Q113" i="12" s="1"/>
  <c r="K76" i="12"/>
  <c r="J75" i="12"/>
  <c r="K75" i="12" s="1"/>
  <c r="K96" i="12"/>
  <c r="J95" i="12"/>
  <c r="K95" i="12" s="1"/>
  <c r="K114" i="12"/>
  <c r="J113" i="12"/>
  <c r="K113" i="12" s="1"/>
  <c r="K129" i="12"/>
  <c r="J128" i="12"/>
  <c r="K128" i="12" s="1"/>
  <c r="V9" i="20" l="1"/>
  <c r="F7" i="14" s="1"/>
  <c r="V11" i="20"/>
  <c r="V13" i="20"/>
  <c r="H7" i="14" s="1"/>
  <c r="V12" i="20"/>
  <c r="V10" i="20"/>
  <c r="G7" i="14" s="1"/>
  <c r="V3" i="20"/>
  <c r="W9" i="20"/>
  <c r="F8" i="14" s="1"/>
  <c r="W13" i="20"/>
  <c r="H8" i="14" s="1"/>
  <c r="W12" i="20"/>
  <c r="W11" i="20"/>
  <c r="W10" i="20"/>
  <c r="G8" i="14" s="1"/>
  <c r="N65" i="3"/>
  <c r="N55" i="3"/>
  <c r="N92" i="3"/>
  <c r="N50" i="3"/>
  <c r="K139" i="3"/>
  <c r="L141" i="3"/>
  <c r="K92" i="3"/>
  <c r="Q65" i="3"/>
  <c r="M47" i="3"/>
  <c r="J147" i="12"/>
  <c r="K147" i="12"/>
  <c r="Q3" i="3"/>
  <c r="J2" i="3"/>
  <c r="N55" i="2"/>
  <c r="L143" i="2"/>
  <c r="J73" i="2"/>
  <c r="Q66" i="2"/>
  <c r="E32" i="13"/>
  <c r="L47" i="2"/>
  <c r="L139" i="2" s="1"/>
  <c r="L4" i="20" s="1"/>
  <c r="I144" i="2"/>
  <c r="O73" i="2"/>
  <c r="P33" i="2"/>
  <c r="J140" i="3"/>
  <c r="L47" i="3"/>
  <c r="L137" i="3" s="1"/>
  <c r="B4" i="20" s="1"/>
  <c r="P55" i="3"/>
  <c r="P47" i="3" s="1"/>
  <c r="Q57" i="3"/>
  <c r="Q55" i="3" s="1"/>
  <c r="L140" i="3"/>
  <c r="O72" i="3"/>
  <c r="M2" i="3"/>
  <c r="N139" i="3"/>
  <c r="K31" i="13" s="1"/>
  <c r="Q93" i="3"/>
  <c r="Q92" i="3" s="1"/>
  <c r="N47" i="3"/>
  <c r="J72" i="3"/>
  <c r="Q38" i="3"/>
  <c r="Q33" i="3" s="1"/>
  <c r="N33" i="3"/>
  <c r="K72" i="3"/>
  <c r="Q51" i="3"/>
  <c r="Q50" i="3" s="1"/>
  <c r="O50" i="3"/>
  <c r="O47" i="3" s="1"/>
  <c r="N72" i="3"/>
  <c r="K47" i="3"/>
  <c r="I137" i="3"/>
  <c r="Q13" i="3"/>
  <c r="I141" i="3"/>
  <c r="P92" i="3"/>
  <c r="D137" i="3"/>
  <c r="Q110" i="3"/>
  <c r="M140" i="3"/>
  <c r="C137" i="3"/>
  <c r="P72" i="3"/>
  <c r="Q73" i="3"/>
  <c r="Q72" i="3" s="1"/>
  <c r="F31" i="13"/>
  <c r="N138" i="3"/>
  <c r="G31" i="13" s="1"/>
  <c r="J47" i="3"/>
  <c r="K138" i="3"/>
  <c r="M92" i="3"/>
  <c r="M146" i="12"/>
  <c r="F33" i="13"/>
  <c r="N146" i="12"/>
  <c r="G33" i="13"/>
  <c r="F32" i="13"/>
  <c r="K140" i="2"/>
  <c r="Q3" i="2"/>
  <c r="N2" i="3"/>
  <c r="P2" i="3"/>
  <c r="K2" i="3"/>
  <c r="Q25" i="3"/>
  <c r="N33" i="2"/>
  <c r="N140" i="2"/>
  <c r="M142" i="2"/>
  <c r="N2" i="2"/>
  <c r="N141" i="2"/>
  <c r="K32" i="13" s="1"/>
  <c r="K2" i="2"/>
  <c r="K141" i="2"/>
  <c r="L144" i="2"/>
  <c r="L142" i="2"/>
  <c r="J146" i="12"/>
  <c r="M145" i="12"/>
  <c r="J142" i="2"/>
  <c r="K95" i="2"/>
  <c r="K94" i="2" s="1"/>
  <c r="N145" i="12"/>
  <c r="O49" i="12"/>
  <c r="O142" i="12" s="1"/>
  <c r="V5" i="20" s="1"/>
  <c r="K146" i="12"/>
  <c r="K145" i="12"/>
  <c r="Q52" i="12"/>
  <c r="M142" i="12"/>
  <c r="W4" i="20" s="1"/>
  <c r="Q75" i="12"/>
  <c r="N2" i="12"/>
  <c r="Q57" i="12"/>
  <c r="Q112" i="2"/>
  <c r="O55" i="2"/>
  <c r="O2" i="2"/>
  <c r="M2" i="2"/>
  <c r="I139" i="2"/>
  <c r="J47" i="2"/>
  <c r="Q17" i="2"/>
  <c r="Q13" i="2" s="1"/>
  <c r="J2" i="2"/>
  <c r="K73" i="2"/>
  <c r="M33" i="2"/>
  <c r="Q95" i="2"/>
  <c r="Q94" i="2" s="1"/>
  <c r="N94" i="2"/>
  <c r="K47" i="2"/>
  <c r="M94" i="2"/>
  <c r="K33" i="2"/>
  <c r="N50" i="2"/>
  <c r="C139" i="2"/>
  <c r="J144" i="2" s="1"/>
  <c r="Q33" i="2"/>
  <c r="N73" i="2"/>
  <c r="M73" i="2"/>
  <c r="J33" i="2"/>
  <c r="K127" i="2"/>
  <c r="K126" i="2" s="1"/>
  <c r="J126" i="2"/>
  <c r="D33" i="2"/>
  <c r="D139" i="2" s="1"/>
  <c r="Q82" i="2"/>
  <c r="O47" i="2"/>
  <c r="P13" i="2"/>
  <c r="P2" i="2" s="1"/>
  <c r="Q57" i="2"/>
  <c r="P73" i="2"/>
  <c r="Q74" i="2"/>
  <c r="P61" i="2"/>
  <c r="Q62" i="2"/>
  <c r="Q61" i="2" s="1"/>
  <c r="Q58" i="2"/>
  <c r="Q132" i="2"/>
  <c r="Q126" i="2" s="1"/>
  <c r="P126" i="2"/>
  <c r="M47" i="2"/>
  <c r="P55" i="2"/>
  <c r="N132" i="2"/>
  <c r="N126" i="2" s="1"/>
  <c r="M126" i="2"/>
  <c r="P50" i="2"/>
  <c r="Q51" i="2"/>
  <c r="Q50" i="2" s="1"/>
  <c r="O2" i="3"/>
  <c r="Q13" i="12"/>
  <c r="P2" i="12"/>
  <c r="J142" i="12"/>
  <c r="K2" i="12"/>
  <c r="P49" i="12"/>
  <c r="V30" i="20" l="1"/>
  <c r="AB12" i="20"/>
  <c r="V21" i="20" s="1"/>
  <c r="AB11" i="20"/>
  <c r="W20" i="20" s="1"/>
  <c r="V29" i="20"/>
  <c r="V14" i="20"/>
  <c r="V27" i="20"/>
  <c r="AB9" i="20"/>
  <c r="W14" i="20"/>
  <c r="W3" i="20"/>
  <c r="AB10" i="20"/>
  <c r="V28" i="20"/>
  <c r="AB13" i="20"/>
  <c r="W22" i="20" s="1"/>
  <c r="V31" i="20"/>
  <c r="L3" i="20"/>
  <c r="M10" i="20"/>
  <c r="M9" i="20"/>
  <c r="M13" i="20"/>
  <c r="M12" i="20"/>
  <c r="M11" i="20"/>
  <c r="L13" i="20"/>
  <c r="L12" i="20"/>
  <c r="L11" i="20"/>
  <c r="L10" i="20"/>
  <c r="R10" i="20" s="1"/>
  <c r="L9" i="20"/>
  <c r="R9" i="20" s="1"/>
  <c r="Q47" i="3"/>
  <c r="M137" i="3"/>
  <c r="C4" i="20" s="1"/>
  <c r="B3" i="20"/>
  <c r="B11" i="20"/>
  <c r="B10" i="20"/>
  <c r="B9" i="20"/>
  <c r="C11" i="20"/>
  <c r="C10" i="20"/>
  <c r="C9" i="20"/>
  <c r="J143" i="2"/>
  <c r="M144" i="2"/>
  <c r="J33" i="13"/>
  <c r="F9" i="14"/>
  <c r="H9" i="14"/>
  <c r="G9" i="14"/>
  <c r="N47" i="2"/>
  <c r="N139" i="2" s="1"/>
  <c r="N4" i="20" s="1"/>
  <c r="K144" i="2"/>
  <c r="M143" i="2"/>
  <c r="P47" i="2"/>
  <c r="P139" i="2" s="1"/>
  <c r="M5" i="20" s="1"/>
  <c r="N141" i="3"/>
  <c r="K141" i="3"/>
  <c r="K137" i="3"/>
  <c r="P137" i="3"/>
  <c r="C5" i="20" s="1"/>
  <c r="O137" i="3"/>
  <c r="B5" i="20" s="1"/>
  <c r="N137" i="3"/>
  <c r="D4" i="20" s="1"/>
  <c r="J31" i="13"/>
  <c r="Q2" i="3"/>
  <c r="J137" i="3"/>
  <c r="J141" i="3"/>
  <c r="M141" i="3"/>
  <c r="K140" i="3"/>
  <c r="N140" i="3"/>
  <c r="K143" i="2"/>
  <c r="N143" i="2"/>
  <c r="G32" i="13"/>
  <c r="J32" i="13" s="1"/>
  <c r="Q2" i="2"/>
  <c r="N144" i="2"/>
  <c r="N142" i="2"/>
  <c r="K142" i="2"/>
  <c r="O139" i="2"/>
  <c r="L5" i="20" s="1"/>
  <c r="N142" i="12"/>
  <c r="X4" i="20" s="1"/>
  <c r="Q49" i="12"/>
  <c r="K139" i="2"/>
  <c r="Q73" i="2"/>
  <c r="M139" i="2"/>
  <c r="M4" i="20" s="1"/>
  <c r="Q55" i="2"/>
  <c r="Q47" i="2" s="1"/>
  <c r="J139" i="2"/>
  <c r="K142" i="12"/>
  <c r="P142" i="12"/>
  <c r="W5" i="20" s="1"/>
  <c r="Q2" i="12"/>
  <c r="D3" i="19" l="1"/>
  <c r="R11" i="20"/>
  <c r="H10" i="20"/>
  <c r="H11" i="20"/>
  <c r="R12" i="20"/>
  <c r="H9" i="20"/>
  <c r="R13" i="20"/>
  <c r="M22" i="20" s="1"/>
  <c r="G15" i="14"/>
  <c r="G14" i="14"/>
  <c r="G18" i="14"/>
  <c r="G17" i="14"/>
  <c r="G16" i="14"/>
  <c r="H14" i="14"/>
  <c r="H17" i="14"/>
  <c r="H15" i="14"/>
  <c r="H16" i="14"/>
  <c r="H18" i="14"/>
  <c r="F17" i="14"/>
  <c r="F18" i="14"/>
  <c r="F14" i="14"/>
  <c r="F15" i="14"/>
  <c r="F16" i="14"/>
  <c r="X3" i="20"/>
  <c r="V18" i="20"/>
  <c r="Z18" i="20"/>
  <c r="Y18" i="20"/>
  <c r="X18" i="20"/>
  <c r="AA18" i="20"/>
  <c r="AB27" i="20"/>
  <c r="W19" i="20"/>
  <c r="AB28" i="20"/>
  <c r="AA19" i="20"/>
  <c r="Y19" i="20"/>
  <c r="Z19" i="20"/>
  <c r="X19" i="20"/>
  <c r="V32" i="20"/>
  <c r="V36" i="20"/>
  <c r="AB14" i="20"/>
  <c r="V23" i="20"/>
  <c r="AA21" i="20"/>
  <c r="X21" i="20"/>
  <c r="AB30" i="20"/>
  <c r="V39" i="20" s="1"/>
  <c r="Y21" i="20"/>
  <c r="Z21" i="20"/>
  <c r="V40" i="20"/>
  <c r="Y20" i="20"/>
  <c r="X20" i="20"/>
  <c r="Z20" i="20"/>
  <c r="AB29" i="20"/>
  <c r="AA20" i="20"/>
  <c r="V22" i="20"/>
  <c r="AB31" i="20"/>
  <c r="X22" i="20"/>
  <c r="Z22" i="20"/>
  <c r="Y22" i="20"/>
  <c r="AA22" i="20"/>
  <c r="W18" i="20"/>
  <c r="V20" i="20"/>
  <c r="V19" i="20"/>
  <c r="W21" i="20"/>
  <c r="M3" i="20"/>
  <c r="L19" i="20"/>
  <c r="L27" i="20"/>
  <c r="M14" i="20"/>
  <c r="M20" i="20"/>
  <c r="L29" i="20"/>
  <c r="L28" i="20"/>
  <c r="L14" i="20"/>
  <c r="L18" i="20"/>
  <c r="N3" i="20"/>
  <c r="L30" i="20"/>
  <c r="L31" i="20"/>
  <c r="Q137" i="3"/>
  <c r="D5" i="20" s="1"/>
  <c r="B17" i="20"/>
  <c r="B24" i="20"/>
  <c r="B12" i="20"/>
  <c r="B25" i="20"/>
  <c r="B23" i="20"/>
  <c r="C3" i="20"/>
  <c r="D3" i="20"/>
  <c r="C12" i="20"/>
  <c r="N33" i="13"/>
  <c r="K37" i="13" s="1"/>
  <c r="N31" i="13"/>
  <c r="J35" i="13" s="1"/>
  <c r="G13" i="14"/>
  <c r="F13" i="14"/>
  <c r="H13" i="14"/>
  <c r="N32" i="13"/>
  <c r="Q139" i="2"/>
  <c r="N5" i="20" s="1"/>
  <c r="Q142" i="12"/>
  <c r="X5" i="20" s="1"/>
  <c r="C3" i="19" l="1"/>
  <c r="B3" i="19"/>
  <c r="B5" i="19" s="1"/>
  <c r="G3" i="19" s="1"/>
  <c r="AB21" i="20"/>
  <c r="AB18" i="20"/>
  <c r="R14" i="20"/>
  <c r="L23" i="20" s="1"/>
  <c r="AB19" i="20"/>
  <c r="H12" i="20"/>
  <c r="C19" i="20" s="1"/>
  <c r="X23" i="20"/>
  <c r="AA23" i="20"/>
  <c r="Z23" i="20"/>
  <c r="Y23" i="20"/>
  <c r="AA37" i="20"/>
  <c r="Y37" i="20"/>
  <c r="AA38" i="20"/>
  <c r="Y38" i="20"/>
  <c r="AB20" i="20"/>
  <c r="AB32" i="20"/>
  <c r="Y36" i="20"/>
  <c r="AA36" i="20"/>
  <c r="AA39" i="20"/>
  <c r="Y39" i="20"/>
  <c r="AB22" i="20"/>
  <c r="W23" i="20"/>
  <c r="AA40" i="20"/>
  <c r="Y40" i="20"/>
  <c r="V38" i="20"/>
  <c r="V37" i="20"/>
  <c r="L20" i="20"/>
  <c r="L22" i="20"/>
  <c r="P21" i="20"/>
  <c r="Q21" i="20"/>
  <c r="O21" i="20"/>
  <c r="R30" i="20"/>
  <c r="N21" i="20"/>
  <c r="M19" i="20"/>
  <c r="J37" i="13"/>
  <c r="N37" i="13"/>
  <c r="M37" i="13"/>
  <c r="L37" i="13"/>
  <c r="P20" i="20"/>
  <c r="O20" i="20"/>
  <c r="N20" i="20"/>
  <c r="Q20" i="20"/>
  <c r="R29" i="20"/>
  <c r="L38" i="20" s="1"/>
  <c r="M21" i="20"/>
  <c r="L32" i="20"/>
  <c r="L21" i="20"/>
  <c r="O19" i="20"/>
  <c r="Q19" i="20"/>
  <c r="R28" i="20"/>
  <c r="L37" i="20" s="1"/>
  <c r="P19" i="20"/>
  <c r="N19" i="20"/>
  <c r="O18" i="20"/>
  <c r="R27" i="20"/>
  <c r="N18" i="20"/>
  <c r="P18" i="20"/>
  <c r="Q18" i="20"/>
  <c r="N22" i="20"/>
  <c r="O22" i="20"/>
  <c r="R31" i="20"/>
  <c r="P22" i="20"/>
  <c r="Q22" i="20"/>
  <c r="M18" i="20"/>
  <c r="C17" i="20"/>
  <c r="H137" i="3"/>
  <c r="F18" i="20"/>
  <c r="E18" i="20"/>
  <c r="G18" i="20"/>
  <c r="H25" i="20"/>
  <c r="D18" i="20"/>
  <c r="D16" i="20"/>
  <c r="H23" i="20"/>
  <c r="B30" i="20" s="1"/>
  <c r="E16" i="20"/>
  <c r="F16" i="20"/>
  <c r="G16" i="20"/>
  <c r="K35" i="13"/>
  <c r="C16" i="20"/>
  <c r="B16" i="20"/>
  <c r="B18" i="20"/>
  <c r="M35" i="13"/>
  <c r="B26" i="20"/>
  <c r="C18" i="20"/>
  <c r="D17" i="20"/>
  <c r="H24" i="20"/>
  <c r="B31" i="20" s="1"/>
  <c r="E17" i="20"/>
  <c r="F17" i="20"/>
  <c r="G17" i="20"/>
  <c r="L35" i="13"/>
  <c r="N35" i="13"/>
  <c r="G19" i="14"/>
  <c r="F19" i="14"/>
  <c r="H19" i="14"/>
  <c r="J36" i="13"/>
  <c r="K36" i="13"/>
  <c r="L36" i="13"/>
  <c r="M36" i="13"/>
  <c r="N36" i="13"/>
  <c r="H139" i="2"/>
  <c r="H142" i="12"/>
  <c r="D5" i="19"/>
  <c r="I2" i="19" s="1"/>
  <c r="M23" i="20" l="1"/>
  <c r="AB39" i="20"/>
  <c r="B19" i="20"/>
  <c r="AB36" i="20"/>
  <c r="AB23" i="20"/>
  <c r="AB40" i="20"/>
  <c r="AB37" i="20"/>
  <c r="Y41" i="20"/>
  <c r="AA41" i="20"/>
  <c r="AB38" i="20"/>
  <c r="V41" i="20"/>
  <c r="R22" i="20"/>
  <c r="R19" i="20"/>
  <c r="R20" i="20"/>
  <c r="L36" i="20"/>
  <c r="Q36" i="20"/>
  <c r="O36" i="20"/>
  <c r="L39" i="20"/>
  <c r="Q39" i="20"/>
  <c r="O39" i="20"/>
  <c r="L40" i="20"/>
  <c r="O40" i="20"/>
  <c r="Q40" i="20"/>
  <c r="O38" i="20"/>
  <c r="Q38" i="20"/>
  <c r="R18" i="20"/>
  <c r="Q37" i="20"/>
  <c r="O37" i="20"/>
  <c r="N23" i="20"/>
  <c r="P23" i="20"/>
  <c r="O23" i="20"/>
  <c r="Q23" i="20"/>
  <c r="R32" i="20"/>
  <c r="R21" i="20"/>
  <c r="E31" i="20"/>
  <c r="G31" i="20"/>
  <c r="D19" i="20"/>
  <c r="H26" i="20"/>
  <c r="E19" i="20"/>
  <c r="F19" i="20"/>
  <c r="G19" i="20"/>
  <c r="E32" i="20"/>
  <c r="G32" i="20"/>
  <c r="B32" i="20"/>
  <c r="E30" i="20"/>
  <c r="G30" i="20"/>
  <c r="I5" i="19"/>
  <c r="I3" i="19"/>
  <c r="I16" i="19"/>
  <c r="C5" i="19"/>
  <c r="I4" i="19"/>
  <c r="G16" i="19"/>
  <c r="G5" i="19"/>
  <c r="G2" i="19"/>
  <c r="G4" i="19"/>
  <c r="R38" i="20" l="1"/>
  <c r="AB41" i="20"/>
  <c r="H31" i="20"/>
  <c r="R40" i="20"/>
  <c r="R23" i="20"/>
  <c r="Q41" i="20"/>
  <c r="O41" i="20"/>
  <c r="L41" i="20"/>
  <c r="R36" i="20"/>
  <c r="R37" i="20"/>
  <c r="R39" i="20"/>
  <c r="H30" i="20"/>
  <c r="G33" i="20"/>
  <c r="E33" i="20"/>
  <c r="H32" i="20"/>
  <c r="B33" i="20"/>
  <c r="H3" i="19"/>
  <c r="H16" i="19"/>
  <c r="H4" i="19"/>
  <c r="H5" i="19"/>
  <c r="H2" i="19"/>
  <c r="R41" i="20" l="1"/>
  <c r="H33" i="20"/>
</calcChain>
</file>

<file path=xl/comments1.xml><?xml version="1.0" encoding="utf-8"?>
<comments xmlns="http://schemas.openxmlformats.org/spreadsheetml/2006/main">
  <authors>
    <author>Wang, Shiway W (EVOSTC sponsored)</author>
  </authors>
  <commentList>
    <comment ref="A85" authorId="0">
      <text>
        <r>
          <rPr>
            <b/>
            <sz val="9"/>
            <color indexed="81"/>
            <rFont val="Tahoma"/>
            <family val="2"/>
          </rPr>
          <t>Wang, Shiway W (EVOSTC sponsored):</t>
        </r>
        <r>
          <rPr>
            <sz val="9"/>
            <color indexed="81"/>
            <rFont val="Tahoma"/>
            <family val="2"/>
          </rPr>
          <t xml:space="preserve">
This is a 3rd party entity admin cost. Great Land Trust administers program management similar to PWSSC admin for the long-term programs. This cost is included in the annual budget to streamline funding. It's not included in these allocation calculations as it is considered 3rd party admin.</t>
        </r>
      </text>
    </comment>
    <comment ref="H137" authorId="0">
      <text>
        <r>
          <rPr>
            <b/>
            <sz val="9"/>
            <color indexed="81"/>
            <rFont val="Tahoma"/>
            <family val="2"/>
          </rPr>
          <t>Wang, Shiway W (EVOSTC sponsored):</t>
        </r>
        <r>
          <rPr>
            <sz val="9"/>
            <color indexed="81"/>
            <rFont val="Tahoma"/>
            <family val="2"/>
          </rPr>
          <t xml:space="preserve">
Total minus Habitat Support (Great Land Trust)
</t>
        </r>
      </text>
    </comment>
  </commentList>
</comments>
</file>

<file path=xl/comments2.xml><?xml version="1.0" encoding="utf-8"?>
<comments xmlns="http://schemas.openxmlformats.org/spreadsheetml/2006/main">
  <authors>
    <author>Wang, Shiway W (EVOSTC sponsored)</author>
  </authors>
  <commentList>
    <comment ref="A86" authorId="0">
      <text>
        <r>
          <rPr>
            <b/>
            <sz val="9"/>
            <color indexed="81"/>
            <rFont val="Tahoma"/>
            <family val="2"/>
          </rPr>
          <t>Wang, Shiway W (EVOSTC sponsored):</t>
        </r>
        <r>
          <rPr>
            <sz val="9"/>
            <color indexed="81"/>
            <rFont val="Tahoma"/>
            <family val="2"/>
          </rPr>
          <t xml:space="preserve">
This is an external cost. Great Land Trust administers program management similar to PWSSC admin for the long-term programs. This cost is included in the annual budget to streamline funding. It's not included in these allocation calculations as it is considered external admin.</t>
        </r>
      </text>
    </comment>
  </commentList>
</comments>
</file>

<file path=xl/comments3.xml><?xml version="1.0" encoding="utf-8"?>
<comments xmlns="http://schemas.openxmlformats.org/spreadsheetml/2006/main">
  <authors>
    <author>Wang, Shiway W (EVOSTC sponsored)</author>
  </authors>
  <commentList>
    <comment ref="A88" authorId="0">
      <text>
        <r>
          <rPr>
            <b/>
            <sz val="9"/>
            <color indexed="81"/>
            <rFont val="Tahoma"/>
            <family val="2"/>
          </rPr>
          <t>Wang, Shiway W (EVOSTC sponsored):</t>
        </r>
        <r>
          <rPr>
            <sz val="9"/>
            <color indexed="81"/>
            <rFont val="Tahoma"/>
            <family val="2"/>
          </rPr>
          <t xml:space="preserve">
This is an external cost. Great Land Trust administers program management similar to PWSSC admin for the long-term programs. This cost is included in the annual budget to streamline funding. It's not included in these allocation calculations as it is considered external admin.</t>
        </r>
      </text>
    </comment>
  </commentList>
</comments>
</file>

<file path=xl/sharedStrings.xml><?xml version="1.0" encoding="utf-8"?>
<sst xmlns="http://schemas.openxmlformats.org/spreadsheetml/2006/main" count="990" uniqueCount="294">
  <si>
    <t>9% GA</t>
  </si>
  <si>
    <t>FY18 Total + GA</t>
  </si>
  <si>
    <t>% Science Admin</t>
  </si>
  <si>
    <t>% Habitat Admin</t>
  </si>
  <si>
    <t>Science Admin (no GA)</t>
  </si>
  <si>
    <t>Science Admin          (9% GA)</t>
  </si>
  <si>
    <t>Science Admin (Total)</t>
  </si>
  <si>
    <t>Habitat Admin          (9% GA)</t>
  </si>
  <si>
    <t>Habitat Admin (Total)</t>
  </si>
  <si>
    <t>Administrative Management Components</t>
  </si>
  <si>
    <t>Personnel Total</t>
  </si>
  <si>
    <t>Executive Director (12 mo)</t>
  </si>
  <si>
    <t>Associate Coordinator (12 mo)</t>
  </si>
  <si>
    <t>Administrative Manager (12 mo)</t>
  </si>
  <si>
    <t>Librarian III (2.5 mo)</t>
  </si>
  <si>
    <t>Travel Total</t>
  </si>
  <si>
    <t>GAO Visit</t>
  </si>
  <si>
    <t>Contractual Services Total</t>
  </si>
  <si>
    <t>Program Coordinator (Lauri Adams)</t>
  </si>
  <si>
    <t>Trustee Council Office Space</t>
  </si>
  <si>
    <t>Agreed-Upon Services Contract</t>
  </si>
  <si>
    <t>Aministrative Support (V. Varela)</t>
  </si>
  <si>
    <t>Telephone &amp; Internet Service</t>
  </si>
  <si>
    <t>Public Notices</t>
  </si>
  <si>
    <t>Postage &amp; Courier Services</t>
  </si>
  <si>
    <t>Transcription</t>
  </si>
  <si>
    <t>Shredding Service</t>
  </si>
  <si>
    <t>Outreach Activities (for signage)</t>
  </si>
  <si>
    <t>Outreach Activities II</t>
  </si>
  <si>
    <t>Interagency Contracted Services</t>
  </si>
  <si>
    <t>Commodities Total</t>
  </si>
  <si>
    <t>Office Supplies</t>
  </si>
  <si>
    <t>Trustee Council Meetings</t>
  </si>
  <si>
    <t>Administrative Operations</t>
  </si>
  <si>
    <t>Interagency Supplies (USGS costs)</t>
  </si>
  <si>
    <t>Equipment Total</t>
  </si>
  <si>
    <t>Data Management Components</t>
  </si>
  <si>
    <t>Contractual Total</t>
  </si>
  <si>
    <t>Equipment Maintenance</t>
  </si>
  <si>
    <t>IT Services ADF&amp;G</t>
  </si>
  <si>
    <t>Computer Software, Hardward &amp; Upgrades</t>
  </si>
  <si>
    <t>Science Program</t>
  </si>
  <si>
    <t xml:space="preserve">Personnel Total </t>
  </si>
  <si>
    <t>Travel &amp; Support</t>
  </si>
  <si>
    <t>Science Coordinator Travel</t>
  </si>
  <si>
    <t>Science Panel Meeting Travel</t>
  </si>
  <si>
    <t>Science Coordinator</t>
  </si>
  <si>
    <t>Science Panel Services</t>
  </si>
  <si>
    <t>AMSS conference</t>
  </si>
  <si>
    <t>Peer and Science Review Contracts</t>
  </si>
  <si>
    <t>Science Panel Meeting Meals</t>
  </si>
  <si>
    <t>Public Advisory Committee Components</t>
  </si>
  <si>
    <t>Personnel Total (DFO)</t>
  </si>
  <si>
    <t>CommoditiesTotal</t>
  </si>
  <si>
    <t>EquipmentTotal</t>
  </si>
  <si>
    <t>Habitat Program</t>
  </si>
  <si>
    <t>ADNR</t>
  </si>
  <si>
    <t>DOI (USFWS)</t>
  </si>
  <si>
    <t>DOI (BLM)</t>
  </si>
  <si>
    <t>Habitat Director</t>
  </si>
  <si>
    <t>Trust Agency Habitat Support (ADNR)</t>
  </si>
  <si>
    <t>Trust Agency Habitat Support (DOI-BLM)</t>
  </si>
  <si>
    <t>ADNR Map Update &amp; Interpretive Info</t>
  </si>
  <si>
    <t>Great Land Trust</t>
  </si>
  <si>
    <t>Due Diligence Expenses</t>
  </si>
  <si>
    <t>Trust Agency Project Management</t>
  </si>
  <si>
    <t>DOI (USFWS) V. Varela</t>
  </si>
  <si>
    <t>NOAA P. Hagen</t>
  </si>
  <si>
    <t>NOAA S. Carey</t>
  </si>
  <si>
    <t>NOAA B. Nelson</t>
  </si>
  <si>
    <t>ADF&amp;G S. Dressel</t>
  </si>
  <si>
    <t>Federal Budget Officer B. Nesslage</t>
  </si>
  <si>
    <t>Trust Agency Funding</t>
  </si>
  <si>
    <t>ADF&amp;G D. Rogers &amp; staff</t>
  </si>
  <si>
    <t>ADF&amp;G M. Fink &amp; Staff</t>
  </si>
  <si>
    <t>USFS R. Britton &amp; Staff</t>
  </si>
  <si>
    <t>DOI (USFWS) V. Varela &amp; Staff</t>
  </si>
  <si>
    <t>ARLIS</t>
  </si>
  <si>
    <t xml:space="preserve">Librarian III </t>
  </si>
  <si>
    <t>Digitizing Services</t>
  </si>
  <si>
    <t>Cataloging Librarian I</t>
  </si>
  <si>
    <t>TOTAL</t>
  </si>
  <si>
    <t>Total</t>
  </si>
  <si>
    <t>Habitat Admin     (no GA)</t>
  </si>
  <si>
    <t>Total without GA</t>
  </si>
  <si>
    <t>Total with GA</t>
  </si>
  <si>
    <t>FY18 Total (no GA)</t>
  </si>
  <si>
    <t>Table 1. % of FY18 Annual Budget allocated to the three admin categories</t>
  </si>
  <si>
    <t>Program or Project</t>
  </si>
  <si>
    <t>Data Management</t>
  </si>
  <si>
    <t>Lingering Oil</t>
  </si>
  <si>
    <t>Pigeon Guillemots</t>
  </si>
  <si>
    <t>Gulf Watch Alaska (13 projects)</t>
  </si>
  <si>
    <t>Herring Research &amp; Monitoring (7 projects)</t>
  </si>
  <si>
    <t>Cost</t>
  </si>
  <si>
    <t>Table 3. FY18 Budget Breakdown</t>
  </si>
  <si>
    <t>% of each category</t>
  </si>
  <si>
    <t>Total Project****</t>
  </si>
  <si>
    <t>FY17 Total (no GA)</t>
  </si>
  <si>
    <t>FY17 Total + GA</t>
  </si>
  <si>
    <t>Travel</t>
  </si>
  <si>
    <t>Aministrative Support (L. Adams)</t>
  </si>
  <si>
    <t>Investment Services Contract</t>
  </si>
  <si>
    <t>Science Coordinator (S. Wang)</t>
  </si>
  <si>
    <t>Science Coordinator (C. Boerner)</t>
  </si>
  <si>
    <t>ADOL</t>
  </si>
  <si>
    <t>Habitat Support</t>
  </si>
  <si>
    <t>Habitat Protection Program Support</t>
  </si>
  <si>
    <t>ADNR Parks Interpretive Info</t>
  </si>
  <si>
    <t>DOI (USFWS) D. Bohn</t>
  </si>
  <si>
    <t xml:space="preserve">Librarian III (9.5 mo) </t>
  </si>
  <si>
    <t>Table 1. % of FY17 Annual Budget allocated to the three admin categories</t>
  </si>
  <si>
    <t>Table 3. FY17 Budget Breakdown</t>
  </si>
  <si>
    <t>FY16 Total (no GA)</t>
  </si>
  <si>
    <t>FY16 Total + GA</t>
  </si>
  <si>
    <t>ADF&amp;G S. Dresse and USGS D. Bohn</t>
  </si>
  <si>
    <t>Gulf Watch Alaska (19 projects)</t>
  </si>
  <si>
    <t>Fiscal Year End: FY92 - FY12 = September 30 and FY13 - FY18 January 31</t>
  </si>
  <si>
    <t>Year</t>
  </si>
  <si>
    <t>Research    Subaccount</t>
  </si>
  <si>
    <t>Habitat Subaccount</t>
  </si>
  <si>
    <t>Koniag Subaccount*</t>
  </si>
  <si>
    <t>Total Earnings All Fund Accounts</t>
  </si>
  <si>
    <t>(16 mos.)</t>
  </si>
  <si>
    <t>as of August 31, 2018</t>
  </si>
  <si>
    <t>*Koniag Payments ended February 2014</t>
  </si>
  <si>
    <t>Total:</t>
  </si>
  <si>
    <t xml:space="preserve">Year </t>
  </si>
  <si>
    <t>%</t>
  </si>
  <si>
    <t>Total Released</t>
  </si>
  <si>
    <t>Projected amount</t>
  </si>
  <si>
    <t>Investment Fund Balance by Fiscal Year End</t>
  </si>
  <si>
    <t>Fund Balances by Fiscal Year End</t>
  </si>
  <si>
    <t>Total Fund Balances</t>
  </si>
  <si>
    <t>HRM program coordinator to PI meeting</t>
  </si>
  <si>
    <t xml:space="preserve">Librarian III (9.5 mo) + ARLIS/UAA Staff (6 mo) </t>
  </si>
  <si>
    <t>Difference between projected and actuals</t>
  </si>
  <si>
    <t>Science Panel Meeting (2 meetings) Travel</t>
  </si>
  <si>
    <t>Difference between project and actuals</t>
  </si>
  <si>
    <t>Herring Research &amp; Monitoring (11 projects)</t>
  </si>
  <si>
    <t>Table 3. FY16 Budget Breakdown</t>
  </si>
  <si>
    <t>Average</t>
  </si>
  <si>
    <t>Total Authorized includes projects, parcels, and annual budget</t>
  </si>
  <si>
    <t>Percentage Annual Budget to Total Authorized</t>
  </si>
  <si>
    <t>Total Authorized</t>
  </si>
  <si>
    <t>Annual Budget</t>
  </si>
  <si>
    <t>Percentage Work Plan Components to Total Authorized</t>
  </si>
  <si>
    <t xml:space="preserve">% </t>
  </si>
  <si>
    <t>Indirect</t>
  </si>
  <si>
    <t>NA</t>
  </si>
  <si>
    <t xml:space="preserve">Table 1. % of FY16 Annual Budget allocated to the three admin categories </t>
  </si>
  <si>
    <t>%Indirect</t>
  </si>
  <si>
    <t>16120112-A</t>
  </si>
  <si>
    <t>Amount</t>
  </si>
  <si>
    <t>GA</t>
  </si>
  <si>
    <t>2018 Habitat Enhancement Projects Authorized</t>
  </si>
  <si>
    <t xml:space="preserve">Amount </t>
  </si>
  <si>
    <t>2017 Habitat Enhancement Projects Authorized</t>
  </si>
  <si>
    <t>2016 Habitat Enhancement Projects Authorized</t>
  </si>
  <si>
    <t>Koniag Subsurf.</t>
  </si>
  <si>
    <t>Lofstedt</t>
  </si>
  <si>
    <t>Shuey</t>
  </si>
  <si>
    <t>Long Island</t>
  </si>
  <si>
    <t>Meals Hill</t>
  </si>
  <si>
    <t>T. Point</t>
  </si>
  <si>
    <t>2018 Parcels Authorized</t>
  </si>
  <si>
    <t>2017 Parcels Authorized</t>
  </si>
  <si>
    <t>2016 Parcels Authorized</t>
  </si>
  <si>
    <t>*There is no GA cost required in Parcel acquistion costs</t>
  </si>
  <si>
    <t>TOTAL Authorized Habitat Program</t>
  </si>
  <si>
    <t>Parcel Acquisition Authorized*</t>
  </si>
  <si>
    <t>Habitat Enhancement Project</t>
  </si>
  <si>
    <t>Annual Budget Habitat Support Total</t>
  </si>
  <si>
    <t>Annual Budget Habitat Support - BLM GA</t>
  </si>
  <si>
    <t>Annual Budget Habitat Support - BLM</t>
  </si>
  <si>
    <t>Annual Budget Habitat Support - GLT GA</t>
  </si>
  <si>
    <t>Annual Budget Habitat Support - GLT</t>
  </si>
  <si>
    <t>Annual Budget Habitat Support - USFWS GA</t>
  </si>
  <si>
    <t>Annual Budget Habitat Support - USFWS</t>
  </si>
  <si>
    <t>Annual Budget Habitat Support - ADNR GA</t>
  </si>
  <si>
    <t>Annual Budget Habitat Support - ADNR</t>
  </si>
  <si>
    <t>Annual Budget Habitat Support - ADOL GA</t>
  </si>
  <si>
    <t>Annual Budget Habitat Support - ADOL</t>
  </si>
  <si>
    <t>Annual Budget Habitat Support - ADFG GA</t>
  </si>
  <si>
    <t>Annual Budget Habitat Support - ADFG</t>
  </si>
  <si>
    <t>Fiscal Year: FY16 - FY18 = February 1 - January 31</t>
  </si>
  <si>
    <t>Total Authorized includes parcel acquisitions and annual budget program support</t>
  </si>
  <si>
    <t xml:space="preserve">% Required by Law &amp; Contributions to 3rd Party Entities </t>
  </si>
  <si>
    <t>Great Land Trust 9% GA</t>
  </si>
  <si>
    <t>EVOSTC Program Management</t>
  </si>
  <si>
    <t>EVOSTC Program Management + 9% GA</t>
  </si>
  <si>
    <t>Great Land Trust Total</t>
  </si>
  <si>
    <t>EVOSTC Program Management Total</t>
  </si>
  <si>
    <t>GLT</t>
  </si>
  <si>
    <t>Habitat Enhancement Project + Parcel Acquisition Authorized</t>
  </si>
  <si>
    <t>From EVOSTC Annual Budget worksheets 1,2,3 numbers are without indirect costs</t>
  </si>
  <si>
    <t>Total Habitat</t>
  </si>
  <si>
    <t>Habitat Enhancement 9%GA</t>
  </si>
  <si>
    <t>Project***</t>
  </si>
  <si>
    <t>EVOSTC Indirect</t>
  </si>
  <si>
    <t>EVOSTC Admin</t>
  </si>
  <si>
    <t>Project</t>
  </si>
  <si>
    <t>FY18</t>
  </si>
  <si>
    <t>Sum</t>
  </si>
  <si>
    <t>Habitat Expenditures as of 10.9.18</t>
  </si>
  <si>
    <t>Chief Cove</t>
  </si>
  <si>
    <t>Kasilof River</t>
  </si>
  <si>
    <t>Thorsheim</t>
  </si>
  <si>
    <t>Gull Island, et al</t>
  </si>
  <si>
    <t>Portage Lake</t>
  </si>
  <si>
    <r>
      <rPr>
        <b/>
        <sz val="11"/>
        <color theme="1"/>
        <rFont val="Calibri"/>
        <family val="2"/>
        <scheme val="minor"/>
      </rPr>
      <t>Investment Fund</t>
    </r>
    <r>
      <rPr>
        <sz val="11"/>
        <color theme="1"/>
        <rFont val="Calibri"/>
        <family val="2"/>
        <scheme val="minor"/>
      </rPr>
      <t xml:space="preserve"> Annual Earnings by Fiscal Year End</t>
    </r>
  </si>
  <si>
    <r>
      <t xml:space="preserve">EVOSTC Annual Budget </t>
    </r>
    <r>
      <rPr>
        <sz val="10"/>
        <color theme="1"/>
        <rFont val="Calibri"/>
        <family val="2"/>
        <scheme val="minor"/>
      </rPr>
      <t>(w/o Science &amp; Habitat Support)</t>
    </r>
    <r>
      <rPr>
        <sz val="11"/>
        <color theme="1"/>
        <rFont val="Calibri"/>
        <family val="2"/>
        <scheme val="minor"/>
      </rPr>
      <t xml:space="preserve"> Authorized</t>
    </r>
  </si>
  <si>
    <t>EVOSTC Science Program &amp; Science Projects Released</t>
  </si>
  <si>
    <t>EVOSTC Science Program &amp; Science Projects Authorized</t>
  </si>
  <si>
    <t xml:space="preserve"> Habitat Support, Habitat Enhancement &amp; Parcels Released</t>
  </si>
  <si>
    <t xml:space="preserve"> Habitat Support, Habitat Enhancement &amp; Parcels Authorized</t>
  </si>
  <si>
    <t>Total Authorized (Admin, Projects, Parcels)</t>
  </si>
  <si>
    <t>Fiscal Year End: FY16 - FY18 = January 31</t>
  </si>
  <si>
    <t xml:space="preserve">as of 10.11.18 </t>
  </si>
  <si>
    <t>Worksheet Name</t>
  </si>
  <si>
    <t>6. FY16-18 Habitat Budget</t>
  </si>
  <si>
    <t>FY16-18 Habitat Budget</t>
  </si>
  <si>
    <t>Programs &amp; Projects</t>
  </si>
  <si>
    <t>Overall Programs + Admin</t>
  </si>
  <si>
    <t>PWSSC</t>
  </si>
  <si>
    <t>Total Science</t>
  </si>
  <si>
    <t>Leveraged Funding</t>
  </si>
  <si>
    <t>2018 with leveraged funding</t>
  </si>
  <si>
    <t>Total Habitat &amp; Science with Leveraged Funding</t>
  </si>
  <si>
    <t>2018 with leveraged Funding</t>
  </si>
  <si>
    <t>3rd party Indirect</t>
  </si>
  <si>
    <t>EVOSTC Support + GA (EVOSTC + GLT) Habitat</t>
  </si>
  <si>
    <t>EVOSTC Indirect-Habitat</t>
  </si>
  <si>
    <t>EVOSTC Support-Science</t>
  </si>
  <si>
    <t>EVOSTC Support Indirect-Science</t>
  </si>
  <si>
    <t>Checking Formulas above with numbers below:</t>
  </si>
  <si>
    <t>GA only</t>
  </si>
  <si>
    <t>3rd Party Indirect</t>
  </si>
  <si>
    <t>FY16 EVOSTC Annual Budget (Actuals) Breakdown and Calculations. See word document for details on allocations (18% Science, 77% Habitat, 5% Required by Law and Contributions to 3rd Party Entities). Cells highlighted in peach are cells that can be changed. Others contain formulas that rely on these cells and should not be altered.</t>
  </si>
  <si>
    <t>FY17 EVOSTC Annual Budget (Actuals) Breakdown and Calculations. See word document for details on allocations (18% Science, 77% Habitat, 5% Required by Law and Contributions to 3rd Party Entities). Cells highlighted in peach are cells that can be changed. Others contain formulas that rely on these cells and should not be altered.</t>
  </si>
  <si>
    <t>FY18 EVOSTC Annual Budget (Actuals) Breakdown and Calculations. See word document for details on allocations (18% Science, 77% Habitat, 5% Required by Law and Contributions to 3rd Party Entities). Cells highlighted in peach are cells that can be changed. Others contain formulas that rely on these cells and should not be altered.</t>
  </si>
  <si>
    <t>Table 1</t>
  </si>
  <si>
    <t>EVOSTC Admin + 9% GA (EVOSTC + GLT)</t>
  </si>
  <si>
    <r>
      <t xml:space="preserve">FY16 Annual Budget Components                 </t>
    </r>
    <r>
      <rPr>
        <sz val="10"/>
        <color theme="1"/>
        <rFont val="Calibri"/>
        <family val="2"/>
        <scheme val="minor"/>
      </rPr>
      <t>Data from: T:\Administrative\Finance\Accounting\Budgets\FY1995 - FY2016\FY16\Invoices, and FY16 EVOSTC Annual Budget 11.12.15 Resolution 15-03</t>
    </r>
  </si>
  <si>
    <r>
      <t xml:space="preserve">FY17 Annual Budget Components                </t>
    </r>
    <r>
      <rPr>
        <sz val="11"/>
        <color theme="1"/>
        <rFont val="Calibri"/>
        <family val="2"/>
        <scheme val="minor"/>
      </rPr>
      <t>Data from: T:\Administrative\Finance\Accounting\Budgets\FY17\INVOICES and Final FY17 EVOSTC Annual Budget Rev. 07.24.17 rev 03.05.17 - ADNR Parks funding Resolution 17-01</t>
    </r>
  </si>
  <si>
    <r>
      <t xml:space="preserve">FY18 Annual Budget Components                </t>
    </r>
    <r>
      <rPr>
        <sz val="11"/>
        <color theme="1"/>
        <rFont val="Calibri"/>
        <family val="2"/>
        <scheme val="minor"/>
      </rPr>
      <t>Data from: T:\Administrative\Finance\Accounting\Budgets\FY18\DRAFT FY18 Annual Budget 11.14.17 rev. 04.09.18 with actuals from Linda 10.07.18</t>
    </r>
  </si>
  <si>
    <t>Required by Law &amp; Contributions to 3rd Party Entities          (no GA)</t>
  </si>
  <si>
    <t>Required by Law &amp; Contributions to 3rd Party Entities      (9% GA)</t>
  </si>
  <si>
    <t>Required by Law &amp; Contributions to 3rd Party Entities      (Total)</t>
  </si>
  <si>
    <t xml:space="preserve">% Required by Law &amp; Contributions to 3rd Party Entities  </t>
  </si>
  <si>
    <t>Referece used: Annual AFOs</t>
  </si>
  <si>
    <t>Think Tank Report</t>
  </si>
  <si>
    <t>Actual EVOS Amounts</t>
  </si>
  <si>
    <t>GWA-Danielson</t>
  </si>
  <si>
    <t>HRM Gorman</t>
  </si>
  <si>
    <t>PIGU</t>
  </si>
  <si>
    <t>From the Think Tank Report</t>
  </si>
  <si>
    <t>1. FY16-18 Programs</t>
  </si>
  <si>
    <t>2. FY16 Final Budget 18.77.5</t>
  </si>
  <si>
    <t>3. FY17 Final Budget 18.77.5</t>
  </si>
  <si>
    <t>4. FY18 Budget 18.77.5</t>
  </si>
  <si>
    <t>Compares data from Think Tank proposal Figure 3 to EVOSTC Data for comparison for 3 FY18 science projects from the Think Tank proposal</t>
  </si>
  <si>
    <t>Authorized amounts and Released amounts and % of those to Annual Budget for Habitat, Science, Required by Law and Contributions to 3rd Party Entities for FY16-18. Used the average of the authorized amounts to determine allocations for worksheets 2-4.</t>
  </si>
  <si>
    <t>Description (See word document "EVOSTC FY16-18 Annual Budget Workbook Guidelines " for instructions)</t>
  </si>
  <si>
    <t>5. FY16-18 Science Budget</t>
  </si>
  <si>
    <t>FY16-18 Science Budget</t>
  </si>
  <si>
    <t>7. Budget &amp; Percentage Rates</t>
  </si>
  <si>
    <t>8. Examples Science Projects</t>
  </si>
  <si>
    <t>Fiscal Year 2016</t>
  </si>
  <si>
    <t>Fiscal Year 2017</t>
  </si>
  <si>
    <t>Fiscal Year 2018</t>
  </si>
  <si>
    <t>Indirect or Program Support</t>
  </si>
  <si>
    <t>Program Support</t>
  </si>
  <si>
    <t>% Program Support</t>
  </si>
  <si>
    <t>Required by Law &amp; Contributions to 3rd Party Entities        (9% GA)</t>
  </si>
  <si>
    <t>EVOSTC Support cost*</t>
  </si>
  <si>
    <t>EVOSTC Indirect cost*</t>
  </si>
  <si>
    <t>3rd Party &amp; Non-profit project Admin</t>
  </si>
  <si>
    <t>PWSSC Management**</t>
  </si>
  <si>
    <t>3rd party or non-profit project Admin</t>
  </si>
  <si>
    <t>PWSSC Management</t>
  </si>
  <si>
    <t>EVOSTC Support</t>
  </si>
  <si>
    <t>3rd Party &amp; Non-profit Admin (lines 8+9)</t>
  </si>
  <si>
    <t>Project Indirect (line 11)</t>
  </si>
  <si>
    <t>9% Project GA (line 17)</t>
  </si>
  <si>
    <t>Programs &amp; Projects (line 4)</t>
  </si>
  <si>
    <t>EVOSTC Support (without G, line 18-line 17)</t>
  </si>
  <si>
    <t>3rd party &amp; non-profit project management  (GLT + PWSSC + 3rd party Indirect)</t>
  </si>
  <si>
    <t>EVOSTC Admin (EVOSTC Support + 9%GA + EVOSTC Indirect+project GA)</t>
  </si>
  <si>
    <t>EVOSTC Support GA-Science (project GA)</t>
  </si>
  <si>
    <t xml:space="preserve">Habitat + Science broken down into Program &amp; Project Cost, EVOSTC Admin, 3rd party Admin. </t>
  </si>
  <si>
    <t>Table 2. FY16 Budget Breakdown</t>
  </si>
  <si>
    <t>Table 2. FY17 Budget Breakdown</t>
  </si>
  <si>
    <t>Table 2. FY18 Budget Breakdown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</si>
</sst>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70C0"/>
      <name val="Calibri"/>
      <family val="2"/>
      <scheme val="minor"/>
    </font>
    <font>
      <b/>
      <sz val="11"/>
      <color rgb="FF0070C0"/>
      <name val="Calibri"/>
      <family val="2"/>
      <scheme val="minor"/>
    </font>
    <font>
      <i/>
      <sz val="11"/>
      <color theme="1"/>
      <name val="Calibri"/>
      <family val="2"/>
      <scheme val="minor"/>
    </font>
    <font>
      <b/>
      <i/>
      <sz val="11"/>
      <color theme="1"/>
      <name val="Calibri"/>
      <family val="2"/>
      <scheme val="minor"/>
    </font>
    <font>
      <sz val="11"/>
      <name val="Calibri"/>
      <family val="2"/>
      <scheme val="minor"/>
    </font>
    <font>
      <i/>
      <sz val="11"/>
      <name val="Calibri"/>
      <family val="2"/>
      <scheme val="minor"/>
    </font>
    <font>
      <i/>
      <sz val="11"/>
      <color rgb="FF0070C0"/>
      <name val="Calibri"/>
      <family val="2"/>
      <scheme val="minor"/>
    </font>
    <font>
      <b/>
      <i/>
      <sz val="11"/>
      <color rgb="FF0070C0"/>
      <name val="Calibri"/>
      <family val="2"/>
      <scheme val="minor"/>
    </font>
    <font>
      <b/>
      <i/>
      <sz val="11"/>
      <name val="Calibri"/>
      <family val="2"/>
      <scheme val="minor"/>
    </font>
    <font>
      <sz val="10"/>
      <name val="Arial"/>
      <family val="2"/>
    </font>
    <font>
      <sz val="11"/>
      <color rgb="FF00B050"/>
      <name val="Calibri"/>
      <family val="2"/>
      <scheme val="minor"/>
    </font>
    <font>
      <sz val="10"/>
      <color theme="1"/>
      <name val="Calibri"/>
      <family val="2"/>
      <scheme val="minor"/>
    </font>
    <font>
      <sz val="9"/>
      <color indexed="81"/>
      <name val="Tahoma"/>
      <family val="2"/>
    </font>
    <font>
      <b/>
      <sz val="9"/>
      <color indexed="81"/>
      <name val="Tahoma"/>
      <family val="2"/>
    </font>
    <font>
      <sz val="11"/>
      <color rgb="FFFFC000"/>
      <name val="Calibri"/>
      <family val="2"/>
      <scheme val="minor"/>
    </font>
    <font>
      <sz val="11"/>
      <color theme="3" tint="0.59999389629810485"/>
      <name val="Calibri"/>
      <family val="2"/>
      <scheme val="minor"/>
    </font>
    <font>
      <sz val="11"/>
      <color theme="9" tint="-0.49998474074526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FF99FF"/>
        <bgColor indexed="64"/>
      </patternFill>
    </fill>
    <fill>
      <patternFill patternType="solid">
        <fgColor theme="1"/>
        <bgColor indexed="64"/>
      </patternFill>
    </fill>
  </fills>
  <borders count="43">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cellStyleXfs>
  <cellXfs count="418">
    <xf numFmtId="0" fontId="0" fillId="0" borderId="0" xfId="0"/>
    <xf numFmtId="0" fontId="2" fillId="0" borderId="0" xfId="0" applyFont="1"/>
    <xf numFmtId="9" fontId="2" fillId="0" borderId="0" xfId="2" applyFont="1" applyFill="1" applyAlignment="1">
      <alignment horizontal="center" wrapText="1"/>
    </xf>
    <xf numFmtId="164" fontId="2" fillId="0" borderId="1" xfId="1" applyNumberFormat="1" applyFont="1" applyFill="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164" fontId="2" fillId="0" borderId="0" xfId="1" applyNumberFormat="1" applyFont="1" applyAlignment="1">
      <alignment horizontal="center" wrapText="1"/>
    </xf>
    <xf numFmtId="0" fontId="4" fillId="0" borderId="0" xfId="0" applyFont="1"/>
    <xf numFmtId="164" fontId="4" fillId="0" borderId="0" xfId="1" applyNumberFormat="1" applyFont="1"/>
    <xf numFmtId="9" fontId="5" fillId="2" borderId="0" xfId="2" applyFont="1" applyFill="1" applyAlignment="1">
      <alignment horizontal="right" wrapText="1"/>
    </xf>
    <xf numFmtId="9" fontId="5" fillId="2" borderId="0" xfId="2" applyFont="1" applyFill="1" applyAlignment="1">
      <alignment wrapText="1"/>
    </xf>
    <xf numFmtId="0" fontId="5" fillId="0" borderId="0" xfId="0" applyFont="1"/>
    <xf numFmtId="0" fontId="6" fillId="0" borderId="0" xfId="0" applyFont="1"/>
    <xf numFmtId="164" fontId="6" fillId="0" borderId="0" xfId="1" applyNumberFormat="1" applyFont="1"/>
    <xf numFmtId="9" fontId="7" fillId="0" borderId="0" xfId="2" applyFont="1" applyFill="1" applyAlignment="1">
      <alignment horizontal="right" wrapText="1"/>
    </xf>
    <xf numFmtId="164" fontId="0" fillId="0" borderId="1" xfId="1" applyNumberFormat="1" applyFont="1" applyFill="1" applyBorder="1" applyAlignment="1">
      <alignment wrapText="1"/>
    </xf>
    <xf numFmtId="164" fontId="1" fillId="0" borderId="0" xfId="1" applyNumberFormat="1" applyFont="1" applyAlignment="1">
      <alignment horizontal="center" wrapText="1"/>
    </xf>
    <xf numFmtId="0" fontId="0" fillId="0" borderId="0" xfId="0" applyAlignment="1">
      <alignment horizontal="right"/>
    </xf>
    <xf numFmtId="164" fontId="0" fillId="0" borderId="0" xfId="1" applyNumberFormat="1" applyFont="1"/>
    <xf numFmtId="9" fontId="1" fillId="3" borderId="0" xfId="2" applyFont="1" applyFill="1" applyAlignment="1">
      <alignment horizontal="right" wrapText="1"/>
    </xf>
    <xf numFmtId="9" fontId="1" fillId="3" borderId="0" xfId="2" applyFont="1" applyFill="1" applyAlignment="1">
      <alignment wrapText="1"/>
    </xf>
    <xf numFmtId="9" fontId="1" fillId="0" borderId="0" xfId="2" applyFont="1" applyFill="1" applyAlignment="1">
      <alignment wrapText="1"/>
    </xf>
    <xf numFmtId="164" fontId="0" fillId="2" borderId="1" xfId="1" applyNumberFormat="1" applyFont="1" applyFill="1" applyBorder="1" applyAlignment="1">
      <alignment wrapText="1"/>
    </xf>
    <xf numFmtId="164" fontId="8" fillId="2" borderId="0" xfId="1" applyNumberFormat="1" applyFont="1" applyFill="1" applyAlignment="1">
      <alignment wrapText="1"/>
    </xf>
    <xf numFmtId="164" fontId="1" fillId="2" borderId="0" xfId="1" applyNumberFormat="1" applyFont="1" applyFill="1" applyAlignment="1">
      <alignment wrapText="1"/>
    </xf>
    <xf numFmtId="9" fontId="7" fillId="0" borderId="0" xfId="2" applyFont="1" applyFill="1" applyAlignment="1">
      <alignment wrapText="1"/>
    </xf>
    <xf numFmtId="164" fontId="6" fillId="0" borderId="1" xfId="1" applyNumberFormat="1" applyFont="1" applyFill="1" applyBorder="1" applyAlignment="1">
      <alignment wrapText="1"/>
    </xf>
    <xf numFmtId="164" fontId="6" fillId="0" borderId="0" xfId="1" applyNumberFormat="1" applyFont="1" applyAlignment="1">
      <alignment horizontal="center" wrapText="1"/>
    </xf>
    <xf numFmtId="164" fontId="1" fillId="0" borderId="0" xfId="1" applyNumberFormat="1" applyFont="1"/>
    <xf numFmtId="9" fontId="2" fillId="0" borderId="0" xfId="2" applyFont="1" applyFill="1" applyAlignment="1">
      <alignment horizontal="right" wrapText="1"/>
    </xf>
    <xf numFmtId="9" fontId="2" fillId="0" borderId="0" xfId="2" applyFont="1" applyFill="1" applyAlignment="1">
      <alignment wrapText="1"/>
    </xf>
    <xf numFmtId="0" fontId="0" fillId="0" borderId="0" xfId="0" applyAlignment="1">
      <alignment horizontal="center" wrapText="1"/>
    </xf>
    <xf numFmtId="0" fontId="8" fillId="0" borderId="0" xfId="0" applyFont="1" applyAlignment="1">
      <alignment horizontal="center" wrapText="1"/>
    </xf>
    <xf numFmtId="0" fontId="0" fillId="0" borderId="0" xfId="0" applyFont="1" applyAlignment="1">
      <alignment horizontal="right"/>
    </xf>
    <xf numFmtId="0" fontId="0" fillId="0" borderId="0" xfId="0" applyFont="1" applyAlignment="1">
      <alignment horizontal="center" wrapText="1"/>
    </xf>
    <xf numFmtId="0" fontId="0" fillId="0" borderId="0" xfId="0" applyFont="1"/>
    <xf numFmtId="0" fontId="6" fillId="0" borderId="2" xfId="0" applyFont="1" applyBorder="1" applyAlignment="1">
      <alignment horizontal="left"/>
    </xf>
    <xf numFmtId="164" fontId="0" fillId="0" borderId="2" xfId="1" applyNumberFormat="1" applyFont="1" applyBorder="1"/>
    <xf numFmtId="9" fontId="2" fillId="0" borderId="2" xfId="2" applyFont="1" applyFill="1" applyBorder="1" applyAlignment="1">
      <alignment horizontal="right" wrapText="1"/>
    </xf>
    <xf numFmtId="9" fontId="2" fillId="0" borderId="2" xfId="2" applyFont="1" applyFill="1" applyBorder="1" applyAlignment="1">
      <alignment wrapText="1"/>
    </xf>
    <xf numFmtId="164" fontId="0" fillId="0" borderId="3" xfId="1" applyNumberFormat="1" applyFont="1" applyFill="1" applyBorder="1" applyAlignment="1">
      <alignment wrapText="1"/>
    </xf>
    <xf numFmtId="0" fontId="0" fillId="0" borderId="2" xfId="0" applyBorder="1" applyAlignment="1">
      <alignment horizontal="center" wrapText="1"/>
    </xf>
    <xf numFmtId="0" fontId="8" fillId="0" borderId="2" xfId="0" applyFont="1" applyBorder="1" applyAlignment="1">
      <alignment horizontal="center" wrapText="1"/>
    </xf>
    <xf numFmtId="164" fontId="1" fillId="0" borderId="2" xfId="1" applyNumberFormat="1" applyFont="1" applyBorder="1" applyAlignment="1">
      <alignment horizontal="center" wrapText="1"/>
    </xf>
    <xf numFmtId="0" fontId="0" fillId="0" borderId="2" xfId="0" applyBorder="1"/>
    <xf numFmtId="0" fontId="10" fillId="0" borderId="0" xfId="0" applyFont="1"/>
    <xf numFmtId="164" fontId="10" fillId="0" borderId="0" xfId="1" applyNumberFormat="1" applyFont="1"/>
    <xf numFmtId="9" fontId="11" fillId="2" borderId="0" xfId="2" applyFont="1" applyFill="1" applyAlignment="1">
      <alignment horizontal="right" wrapText="1"/>
    </xf>
    <xf numFmtId="9" fontId="11" fillId="2" borderId="0" xfId="2" applyFont="1" applyFill="1" applyAlignment="1">
      <alignment wrapText="1"/>
    </xf>
    <xf numFmtId="164" fontId="10" fillId="0" borderId="1" xfId="1" applyNumberFormat="1" applyFont="1" applyFill="1" applyBorder="1" applyAlignment="1">
      <alignment wrapText="1"/>
    </xf>
    <xf numFmtId="164" fontId="10" fillId="0" borderId="0" xfId="1" applyNumberFormat="1" applyFont="1" applyFill="1" applyAlignment="1">
      <alignment wrapText="1"/>
    </xf>
    <xf numFmtId="9" fontId="7" fillId="3" borderId="0" xfId="2" applyFont="1" applyFill="1" applyAlignment="1">
      <alignment horizontal="right" wrapText="1"/>
    </xf>
    <xf numFmtId="9" fontId="7" fillId="3" borderId="0" xfId="2" applyFont="1" applyFill="1" applyAlignment="1">
      <alignment wrapText="1"/>
    </xf>
    <xf numFmtId="164" fontId="9" fillId="0" borderId="1" xfId="1" applyNumberFormat="1" applyFont="1" applyFill="1" applyBorder="1" applyAlignment="1">
      <alignment wrapText="1"/>
    </xf>
    <xf numFmtId="164" fontId="9" fillId="0" borderId="0" xfId="1" applyNumberFormat="1" applyFont="1" applyAlignment="1">
      <alignment horizontal="center" wrapText="1"/>
    </xf>
    <xf numFmtId="0" fontId="8" fillId="0" borderId="0" xfId="0" applyFont="1" applyAlignment="1">
      <alignment horizontal="right"/>
    </xf>
    <xf numFmtId="164" fontId="8" fillId="0" borderId="0" xfId="1" applyNumberFormat="1" applyFont="1"/>
    <xf numFmtId="9" fontId="3" fillId="0" borderId="0" xfId="2" applyFont="1" applyFill="1" applyAlignment="1">
      <alignment horizontal="right" wrapText="1"/>
    </xf>
    <xf numFmtId="9" fontId="3" fillId="0" borderId="0" xfId="2" applyFont="1" applyFill="1" applyAlignment="1">
      <alignment wrapText="1"/>
    </xf>
    <xf numFmtId="164" fontId="8" fillId="0" borderId="1" xfId="1" applyNumberFormat="1" applyFont="1" applyFill="1" applyBorder="1" applyAlignment="1">
      <alignment wrapText="1"/>
    </xf>
    <xf numFmtId="164" fontId="8" fillId="0" borderId="0" xfId="1" applyNumberFormat="1" applyFont="1" applyAlignment="1">
      <alignment horizontal="center" wrapText="1"/>
    </xf>
    <xf numFmtId="0" fontId="8" fillId="0" borderId="0" xfId="0" applyFont="1"/>
    <xf numFmtId="9" fontId="11" fillId="0" borderId="0" xfId="2" applyFont="1" applyFill="1" applyAlignment="1">
      <alignment horizontal="right" wrapText="1"/>
    </xf>
    <xf numFmtId="9" fontId="11" fillId="0" borderId="0" xfId="2" applyFont="1" applyFill="1" applyAlignment="1">
      <alignment wrapText="1"/>
    </xf>
    <xf numFmtId="0" fontId="10" fillId="0" borderId="0" xfId="0" applyFont="1" applyAlignment="1">
      <alignment horizontal="center" wrapText="1"/>
    </xf>
    <xf numFmtId="0" fontId="9" fillId="0" borderId="0" xfId="0" applyFont="1" applyAlignment="1">
      <alignment horizontal="center" wrapText="1"/>
    </xf>
    <xf numFmtId="164" fontId="10" fillId="0" borderId="0" xfId="1" applyNumberFormat="1" applyFont="1" applyAlignment="1">
      <alignment horizontal="center" wrapText="1"/>
    </xf>
    <xf numFmtId="0" fontId="10" fillId="0" borderId="2" xfId="0" applyFont="1" applyBorder="1"/>
    <xf numFmtId="164" fontId="10" fillId="0" borderId="2" xfId="1" applyNumberFormat="1" applyFont="1" applyBorder="1"/>
    <xf numFmtId="9" fontId="11" fillId="0" borderId="2" xfId="2" applyFont="1" applyFill="1" applyBorder="1" applyAlignment="1">
      <alignment horizontal="right" wrapText="1"/>
    </xf>
    <xf numFmtId="9" fontId="11" fillId="0" borderId="2" xfId="2" applyFont="1" applyFill="1" applyBorder="1" applyAlignment="1">
      <alignment wrapText="1"/>
    </xf>
    <xf numFmtId="164" fontId="10" fillId="0" borderId="3" xfId="1" applyNumberFormat="1" applyFont="1" applyFill="1" applyBorder="1" applyAlignment="1">
      <alignment wrapText="1"/>
    </xf>
    <xf numFmtId="0" fontId="10" fillId="0" borderId="2" xfId="0" applyFont="1" applyBorder="1" applyAlignment="1">
      <alignment horizontal="center" wrapText="1"/>
    </xf>
    <xf numFmtId="0" fontId="9" fillId="0" borderId="2" xfId="0" applyFont="1" applyBorder="1" applyAlignment="1">
      <alignment horizontal="center" wrapText="1"/>
    </xf>
    <xf numFmtId="164" fontId="10" fillId="0" borderId="2" xfId="1" applyNumberFormat="1" applyFont="1" applyBorder="1" applyAlignment="1">
      <alignment horizontal="center" wrapText="1"/>
    </xf>
    <xf numFmtId="9" fontId="12" fillId="3" borderId="0" xfId="2" applyFont="1" applyFill="1" applyAlignment="1">
      <alignment horizontal="right" wrapText="1"/>
    </xf>
    <xf numFmtId="9" fontId="12" fillId="3" borderId="0" xfId="2" applyFont="1" applyFill="1" applyAlignment="1">
      <alignment wrapText="1"/>
    </xf>
    <xf numFmtId="9" fontId="12" fillId="0" borderId="0" xfId="2" applyFont="1" applyFill="1" applyAlignment="1">
      <alignment wrapText="1"/>
    </xf>
    <xf numFmtId="9" fontId="12" fillId="0" borderId="0" xfId="2" applyFont="1" applyFill="1" applyAlignment="1">
      <alignment horizontal="right" wrapText="1"/>
    </xf>
    <xf numFmtId="9" fontId="6" fillId="3" borderId="0" xfId="2" applyFont="1" applyFill="1" applyAlignment="1">
      <alignment horizontal="right" wrapText="1"/>
    </xf>
    <xf numFmtId="9" fontId="9" fillId="3" borderId="0" xfId="2" applyFont="1" applyFill="1" applyAlignment="1">
      <alignment wrapText="1"/>
    </xf>
    <xf numFmtId="9" fontId="9" fillId="0" borderId="0" xfId="2" applyFont="1" applyFill="1" applyAlignment="1">
      <alignment wrapText="1"/>
    </xf>
    <xf numFmtId="164" fontId="9" fillId="2" borderId="1" xfId="1" applyNumberFormat="1" applyFont="1" applyFill="1" applyBorder="1" applyAlignment="1">
      <alignment wrapText="1"/>
    </xf>
    <xf numFmtId="0" fontId="6" fillId="0" borderId="0" xfId="0" applyFont="1" applyAlignment="1">
      <alignment horizontal="center" wrapText="1"/>
    </xf>
    <xf numFmtId="0" fontId="6" fillId="0" borderId="2" xfId="0" applyFont="1" applyBorder="1"/>
    <xf numFmtId="164" fontId="6" fillId="0" borderId="2" xfId="1" applyNumberFormat="1" applyFont="1" applyBorder="1"/>
    <xf numFmtId="9" fontId="7" fillId="0" borderId="2" xfId="2" applyFont="1" applyFill="1" applyBorder="1" applyAlignment="1">
      <alignment horizontal="right" wrapText="1"/>
    </xf>
    <xf numFmtId="9" fontId="7" fillId="0" borderId="2" xfId="2" applyFont="1" applyFill="1" applyBorder="1" applyAlignment="1">
      <alignment wrapText="1"/>
    </xf>
    <xf numFmtId="164" fontId="6" fillId="0" borderId="3" xfId="1" applyNumberFormat="1" applyFont="1" applyFill="1" applyBorder="1" applyAlignment="1">
      <alignment wrapText="1"/>
    </xf>
    <xf numFmtId="0" fontId="6" fillId="0" borderId="2" xfId="0" applyFont="1" applyBorder="1" applyAlignment="1">
      <alignment horizontal="center" wrapText="1"/>
    </xf>
    <xf numFmtId="164" fontId="6" fillId="0" borderId="2" xfId="1" applyNumberFormat="1" applyFont="1" applyBorder="1" applyAlignment="1">
      <alignment horizontal="center" wrapText="1"/>
    </xf>
    <xf numFmtId="164" fontId="8" fillId="0" borderId="0" xfId="1" applyNumberFormat="1" applyFont="1" applyFill="1" applyAlignment="1">
      <alignment wrapText="1"/>
    </xf>
    <xf numFmtId="0" fontId="0" fillId="0" borderId="2" xfId="0" applyBorder="1" applyAlignment="1">
      <alignment horizontal="right"/>
    </xf>
    <xf numFmtId="164" fontId="1" fillId="0" borderId="2" xfId="1" applyNumberFormat="1" applyFont="1" applyBorder="1"/>
    <xf numFmtId="9" fontId="6" fillId="3" borderId="0" xfId="2" applyFont="1" applyFill="1" applyAlignment="1">
      <alignment wrapText="1"/>
    </xf>
    <xf numFmtId="9" fontId="6" fillId="0" borderId="0" xfId="2" applyFont="1" applyFill="1" applyAlignment="1">
      <alignment wrapText="1"/>
    </xf>
    <xf numFmtId="0" fontId="6" fillId="0" borderId="0" xfId="0" applyFont="1" applyAlignment="1">
      <alignment horizontal="right"/>
    </xf>
    <xf numFmtId="9" fontId="12" fillId="0" borderId="0" xfId="2" applyFont="1" applyFill="1" applyAlignment="1">
      <alignment horizontal="right"/>
    </xf>
    <xf numFmtId="0" fontId="9" fillId="0" borderId="0" xfId="0" applyFont="1" applyBorder="1" applyAlignment="1">
      <alignment horizontal="center" wrapText="1"/>
    </xf>
    <xf numFmtId="0" fontId="7" fillId="0" borderId="0" xfId="0" applyFont="1"/>
    <xf numFmtId="164" fontId="7" fillId="0" borderId="0" xfId="1" applyNumberFormat="1" applyFont="1"/>
    <xf numFmtId="164" fontId="2" fillId="0" borderId="1" xfId="1" applyNumberFormat="1" applyFont="1" applyFill="1" applyBorder="1" applyAlignment="1">
      <alignment wrapText="1"/>
    </xf>
    <xf numFmtId="164" fontId="3" fillId="0" borderId="0" xfId="0" applyNumberFormat="1" applyFont="1" applyAlignment="1">
      <alignment horizontal="center" wrapText="1"/>
    </xf>
    <xf numFmtId="164" fontId="5" fillId="0" borderId="0" xfId="1" applyNumberFormat="1" applyFont="1"/>
    <xf numFmtId="164" fontId="5" fillId="0" borderId="1" xfId="1" applyNumberFormat="1" applyFont="1" applyFill="1" applyBorder="1" applyAlignment="1">
      <alignment wrapText="1"/>
    </xf>
    <xf numFmtId="164" fontId="5" fillId="0" borderId="0" xfId="1" applyNumberFormat="1" applyFont="1" applyFill="1" applyAlignment="1">
      <alignment wrapText="1"/>
    </xf>
    <xf numFmtId="0" fontId="7" fillId="0" borderId="0" xfId="0" applyFont="1" applyAlignment="1">
      <alignment horizontal="left"/>
    </xf>
    <xf numFmtId="164" fontId="7" fillId="0" borderId="1" xfId="1" applyNumberFormat="1" applyFont="1" applyFill="1" applyBorder="1" applyAlignment="1">
      <alignment wrapText="1"/>
    </xf>
    <xf numFmtId="164" fontId="7" fillId="0" borderId="0" xfId="0" applyNumberFormat="1" applyFont="1" applyAlignment="1">
      <alignment horizontal="center" wrapText="1"/>
    </xf>
    <xf numFmtId="164" fontId="12" fillId="0" borderId="0" xfId="1" applyNumberFormat="1" applyFont="1" applyFill="1" applyAlignment="1">
      <alignment wrapText="1"/>
    </xf>
    <xf numFmtId="164" fontId="7" fillId="0" borderId="0" xfId="1" applyNumberFormat="1" applyFont="1" applyAlignment="1">
      <alignment horizontal="center" wrapText="1"/>
    </xf>
    <xf numFmtId="0" fontId="11" fillId="0" borderId="0" xfId="0" applyFont="1"/>
    <xf numFmtId="164" fontId="11" fillId="0" borderId="0" xfId="1" applyNumberFormat="1" applyFont="1"/>
    <xf numFmtId="164" fontId="11" fillId="0" borderId="1" xfId="1" applyNumberFormat="1" applyFont="1" applyFill="1" applyBorder="1" applyAlignment="1">
      <alignment wrapText="1"/>
    </xf>
    <xf numFmtId="164" fontId="11" fillId="0" borderId="0" xfId="1" applyNumberFormat="1" applyFont="1" applyFill="1" applyAlignment="1">
      <alignment wrapText="1"/>
    </xf>
    <xf numFmtId="0" fontId="12" fillId="0" borderId="0" xfId="0" applyFont="1" applyAlignment="1">
      <alignment horizontal="left"/>
    </xf>
    <xf numFmtId="164" fontId="12" fillId="0" borderId="0" xfId="1" applyNumberFormat="1" applyFont="1"/>
    <xf numFmtId="164" fontId="12" fillId="0" borderId="1" xfId="1" applyNumberFormat="1" applyFont="1" applyFill="1" applyBorder="1" applyAlignment="1">
      <alignment wrapText="1"/>
    </xf>
    <xf numFmtId="164" fontId="12" fillId="0" borderId="0" xfId="0" applyNumberFormat="1" applyFont="1" applyAlignment="1">
      <alignment horizontal="center" wrapText="1"/>
    </xf>
    <xf numFmtId="164" fontId="12" fillId="0" borderId="0" xfId="1" applyNumberFormat="1" applyFont="1" applyAlignment="1">
      <alignment horizontal="center" wrapText="1"/>
    </xf>
    <xf numFmtId="0" fontId="12" fillId="0" borderId="0" xfId="0" applyFont="1"/>
    <xf numFmtId="164" fontId="3" fillId="0" borderId="0" xfId="1" applyNumberFormat="1" applyFont="1" applyFill="1" applyAlignment="1">
      <alignment wrapText="1"/>
    </xf>
    <xf numFmtId="164" fontId="7" fillId="0" borderId="0" xfId="1" applyNumberFormat="1" applyFont="1" applyAlignment="1">
      <alignment horizontal="left"/>
    </xf>
    <xf numFmtId="164" fontId="2" fillId="0" borderId="0" xfId="1" applyNumberFormat="1" applyFont="1" applyFill="1" applyBorder="1" applyAlignment="1">
      <alignment wrapText="1"/>
    </xf>
    <xf numFmtId="164" fontId="7" fillId="0" borderId="0" xfId="1" applyNumberFormat="1" applyFont="1" applyFill="1" applyBorder="1" applyAlignment="1">
      <alignment wrapText="1"/>
    </xf>
    <xf numFmtId="0" fontId="6" fillId="0" borderId="0" xfId="0" applyFont="1" applyBorder="1" applyAlignment="1">
      <alignment horizontal="center" wrapText="1"/>
    </xf>
    <xf numFmtId="164" fontId="11" fillId="0" borderId="6" xfId="1" applyNumberFormat="1" applyFont="1" applyFill="1" applyBorder="1" applyAlignment="1">
      <alignment wrapText="1"/>
    </xf>
    <xf numFmtId="164" fontId="6" fillId="0" borderId="0" xfId="1" applyNumberFormat="1" applyFont="1" applyBorder="1" applyAlignment="1">
      <alignment horizontal="center" wrapText="1"/>
    </xf>
    <xf numFmtId="44" fontId="0" fillId="2" borderId="1" xfId="1" applyNumberFormat="1" applyFont="1" applyFill="1" applyBorder="1" applyAlignment="1">
      <alignment wrapText="1"/>
    </xf>
    <xf numFmtId="44" fontId="1" fillId="2" borderId="0" xfId="1" applyNumberFormat="1" applyFont="1" applyFill="1" applyAlignment="1">
      <alignment wrapText="1"/>
    </xf>
    <xf numFmtId="164" fontId="0" fillId="2" borderId="0" xfId="0" applyNumberFormat="1" applyFont="1" applyFill="1" applyAlignment="1">
      <alignment horizontal="center" wrapText="1"/>
    </xf>
    <xf numFmtId="164" fontId="8" fillId="2" borderId="0" xfId="0" applyNumberFormat="1" applyFont="1" applyFill="1" applyAlignment="1">
      <alignment horizontal="center" wrapText="1"/>
    </xf>
    <xf numFmtId="164" fontId="9" fillId="2" borderId="0" xfId="0" applyNumberFormat="1" applyFont="1" applyFill="1" applyAlignment="1">
      <alignment horizontal="center" wrapText="1"/>
    </xf>
    <xf numFmtId="9" fontId="5" fillId="0" borderId="0" xfId="2" applyFont="1" applyFill="1" applyAlignment="1">
      <alignment horizontal="right" wrapText="1"/>
    </xf>
    <xf numFmtId="9" fontId="5" fillId="0" borderId="0" xfId="2" applyFont="1" applyFill="1" applyAlignment="1">
      <alignment wrapText="1"/>
    </xf>
    <xf numFmtId="164" fontId="4" fillId="0" borderId="4" xfId="1" applyNumberFormat="1" applyFont="1" applyFill="1" applyBorder="1" applyAlignment="1">
      <alignment wrapText="1"/>
    </xf>
    <xf numFmtId="164" fontId="5" fillId="0" borderId="4" xfId="1" applyNumberFormat="1" applyFont="1" applyFill="1" applyBorder="1" applyAlignment="1">
      <alignment wrapText="1"/>
    </xf>
    <xf numFmtId="164" fontId="4" fillId="0" borderId="5" xfId="1" applyNumberFormat="1" applyFont="1" applyFill="1" applyBorder="1" applyAlignment="1">
      <alignment wrapText="1"/>
    </xf>
    <xf numFmtId="164" fontId="3" fillId="0" borderId="0" xfId="1" applyNumberFormat="1" applyFont="1" applyAlignment="1">
      <alignment horizontal="center" wrapText="1"/>
    </xf>
    <xf numFmtId="164" fontId="8" fillId="0" borderId="2" xfId="1" applyNumberFormat="1" applyFont="1" applyBorder="1" applyAlignment="1">
      <alignment horizontal="center" wrapText="1"/>
    </xf>
    <xf numFmtId="164" fontId="9" fillId="0" borderId="2" xfId="1" applyNumberFormat="1" applyFont="1" applyBorder="1" applyAlignment="1">
      <alignment horizontal="center" wrapText="1"/>
    </xf>
    <xf numFmtId="164" fontId="9" fillId="0" borderId="0" xfId="1" applyNumberFormat="1" applyFont="1" applyBorder="1" applyAlignment="1">
      <alignment horizontal="center" wrapText="1"/>
    </xf>
    <xf numFmtId="164" fontId="5" fillId="0" borderId="7" xfId="1" applyNumberFormat="1" applyFont="1" applyFill="1" applyBorder="1" applyAlignment="1">
      <alignment wrapText="1"/>
    </xf>
    <xf numFmtId="0" fontId="2" fillId="0" borderId="1" xfId="0" applyFont="1" applyBorder="1"/>
    <xf numFmtId="0" fontId="5" fillId="0" borderId="1" xfId="0" applyFont="1" applyBorder="1"/>
    <xf numFmtId="0" fontId="0" fillId="0" borderId="1" xfId="0" applyBorder="1"/>
    <xf numFmtId="0" fontId="7" fillId="0" borderId="1" xfId="0" applyFont="1" applyBorder="1"/>
    <xf numFmtId="0" fontId="0" fillId="0" borderId="1" xfId="0" applyFont="1" applyBorder="1"/>
    <xf numFmtId="0" fontId="11" fillId="0" borderId="1" xfId="0" applyFont="1" applyBorder="1"/>
    <xf numFmtId="0" fontId="12" fillId="0" borderId="1" xfId="0" applyFont="1" applyBorder="1"/>
    <xf numFmtId="0" fontId="8" fillId="0" borderId="1" xfId="0" applyFont="1" applyBorder="1"/>
    <xf numFmtId="0" fontId="10" fillId="0" borderId="1" xfId="0" applyFont="1" applyBorder="1"/>
    <xf numFmtId="0" fontId="6" fillId="0" borderId="1" xfId="0" applyFont="1" applyBorder="1"/>
    <xf numFmtId="0" fontId="7" fillId="0" borderId="1" xfId="0" applyFont="1" applyBorder="1" applyAlignment="1">
      <alignment horizontal="left"/>
    </xf>
    <xf numFmtId="0" fontId="4" fillId="0" borderId="1" xfId="0" applyFont="1" applyBorder="1"/>
    <xf numFmtId="164" fontId="2" fillId="0" borderId="0" xfId="1"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164" fontId="0" fillId="0" borderId="0" xfId="1" applyNumberFormat="1" applyFont="1" applyBorder="1"/>
    <xf numFmtId="164" fontId="0" fillId="0" borderId="0" xfId="1" applyNumberFormat="1" applyFont="1" applyFill="1" applyBorder="1" applyAlignment="1">
      <alignment wrapText="1"/>
    </xf>
    <xf numFmtId="9" fontId="2" fillId="0" borderId="0" xfId="2" applyFont="1" applyFill="1" applyBorder="1" applyAlignment="1">
      <alignment horizontal="right" wrapText="1"/>
    </xf>
    <xf numFmtId="9" fontId="2" fillId="0" borderId="0" xfId="2" applyFont="1" applyFill="1" applyBorder="1" applyAlignment="1">
      <alignment wrapText="1"/>
    </xf>
    <xf numFmtId="0" fontId="2" fillId="0" borderId="0" xfId="0" applyFont="1" applyAlignment="1">
      <alignment horizontal="left" wrapText="1"/>
    </xf>
    <xf numFmtId="0" fontId="5" fillId="0" borderId="0" xfId="0" applyFont="1" applyAlignment="1">
      <alignment wrapText="1"/>
    </xf>
    <xf numFmtId="0" fontId="7" fillId="0" borderId="0" xfId="0" applyFont="1" applyAlignment="1">
      <alignment wrapText="1"/>
    </xf>
    <xf numFmtId="0" fontId="0" fillId="0" borderId="0" xfId="0" applyAlignment="1">
      <alignment horizontal="right" wrapText="1"/>
    </xf>
    <xf numFmtId="0" fontId="7" fillId="0" borderId="0" xfId="0" applyFont="1" applyAlignment="1">
      <alignment horizontal="left" wrapText="1"/>
    </xf>
    <xf numFmtId="0" fontId="0" fillId="0" borderId="0" xfId="0" applyFont="1" applyAlignment="1">
      <alignment horizontal="right" wrapText="1"/>
    </xf>
    <xf numFmtId="0" fontId="6" fillId="0" borderId="2" xfId="0" applyFont="1" applyBorder="1" applyAlignment="1">
      <alignment horizontal="left" wrapText="1"/>
    </xf>
    <xf numFmtId="0" fontId="11" fillId="0" borderId="0" xfId="0" applyFont="1" applyAlignment="1">
      <alignment wrapText="1"/>
    </xf>
    <xf numFmtId="0" fontId="12" fillId="0" borderId="0" xfId="0" applyFont="1" applyAlignment="1">
      <alignment horizontal="left" wrapText="1"/>
    </xf>
    <xf numFmtId="0" fontId="8" fillId="0" borderId="0" xfId="0" applyFont="1" applyAlignment="1">
      <alignment horizontal="right" wrapText="1"/>
    </xf>
    <xf numFmtId="0" fontId="10" fillId="0" borderId="0" xfId="0" applyFont="1" applyAlignment="1">
      <alignment wrapText="1"/>
    </xf>
    <xf numFmtId="0" fontId="10" fillId="0" borderId="2" xfId="0" applyFont="1" applyBorder="1" applyAlignment="1">
      <alignment wrapText="1"/>
    </xf>
    <xf numFmtId="0" fontId="12" fillId="0" borderId="0" xfId="0" applyFont="1" applyAlignment="1">
      <alignment wrapText="1"/>
    </xf>
    <xf numFmtId="0" fontId="6" fillId="0" borderId="0" xfId="0" applyFont="1" applyAlignment="1">
      <alignment wrapText="1"/>
    </xf>
    <xf numFmtId="0" fontId="6" fillId="0" borderId="2" xfId="0" applyFont="1" applyBorder="1" applyAlignment="1">
      <alignment wrapText="1"/>
    </xf>
    <xf numFmtId="0" fontId="0" fillId="0" borderId="2" xfId="0" applyBorder="1" applyAlignment="1">
      <alignment horizontal="right" wrapText="1"/>
    </xf>
    <xf numFmtId="0" fontId="6" fillId="0" borderId="0" xfId="0" applyFont="1" applyAlignment="1">
      <alignment horizontal="right" wrapText="1"/>
    </xf>
    <xf numFmtId="0" fontId="0" fillId="0" borderId="0" xfId="0" applyAlignment="1">
      <alignment wrapText="1"/>
    </xf>
    <xf numFmtId="0" fontId="0" fillId="0" borderId="11" xfId="0" applyBorder="1" applyAlignment="1">
      <alignment wrapText="1"/>
    </xf>
    <xf numFmtId="164" fontId="5" fillId="0" borderId="0" xfId="2" applyNumberFormat="1" applyFont="1" applyFill="1" applyAlignment="1">
      <alignment wrapText="1"/>
    </xf>
    <xf numFmtId="164" fontId="11" fillId="0" borderId="0" xfId="1" applyNumberFormat="1" applyFont="1" applyFill="1" applyBorder="1" applyAlignment="1">
      <alignment wrapText="1"/>
    </xf>
    <xf numFmtId="164" fontId="5" fillId="0" borderId="1" xfId="0" applyNumberFormat="1" applyFont="1" applyBorder="1"/>
    <xf numFmtId="164" fontId="2" fillId="0" borderId="1" xfId="0" applyNumberFormat="1" applyFont="1" applyBorder="1"/>
    <xf numFmtId="0" fontId="14" fillId="0" borderId="0" xfId="0" applyFont="1" applyAlignment="1">
      <alignment horizontal="right"/>
    </xf>
    <xf numFmtId="0" fontId="0" fillId="0" borderId="19" xfId="0" applyBorder="1" applyAlignment="1">
      <alignment horizontal="center"/>
    </xf>
    <xf numFmtId="0" fontId="0" fillId="0" borderId="19" xfId="0" applyBorder="1" applyAlignment="1">
      <alignment horizontal="center" wrapText="1"/>
    </xf>
    <xf numFmtId="0" fontId="0" fillId="0" borderId="3" xfId="0" applyBorder="1" applyAlignment="1">
      <alignment horizontal="center" wrapText="1"/>
    </xf>
    <xf numFmtId="0" fontId="0" fillId="0" borderId="20" xfId="0" applyFill="1" applyBorder="1" applyAlignment="1">
      <alignment horizontal="center" wrapText="1"/>
    </xf>
    <xf numFmtId="165" fontId="0" fillId="0" borderId="19" xfId="0" applyNumberFormat="1" applyBorder="1" applyAlignment="1">
      <alignment horizontal="right" wrapText="1"/>
    </xf>
    <xf numFmtId="165" fontId="0" fillId="0" borderId="3" xfId="0" applyNumberFormat="1" applyBorder="1" applyAlignment="1">
      <alignment horizontal="right" wrapText="1"/>
    </xf>
    <xf numFmtId="165" fontId="0" fillId="0" borderId="20" xfId="0" applyNumberFormat="1" applyFill="1" applyBorder="1" applyAlignment="1">
      <alignment horizontal="right" wrapText="1"/>
    </xf>
    <xf numFmtId="6" fontId="0" fillId="0" borderId="19" xfId="0" applyNumberFormat="1" applyBorder="1" applyAlignment="1">
      <alignment horizontal="right" wrapText="1"/>
    </xf>
    <xf numFmtId="6" fontId="0" fillId="0" borderId="20" xfId="0" applyNumberFormat="1" applyFill="1" applyBorder="1" applyAlignment="1">
      <alignment horizontal="right" wrapText="1"/>
    </xf>
    <xf numFmtId="0" fontId="0" fillId="0" borderId="21" xfId="0" applyBorder="1" applyAlignment="1">
      <alignment horizontal="center"/>
    </xf>
    <xf numFmtId="6" fontId="0" fillId="0" borderId="21" xfId="0" applyNumberFormat="1" applyBorder="1"/>
    <xf numFmtId="6" fontId="0" fillId="0" borderId="17" xfId="0" applyNumberFormat="1" applyBorder="1"/>
    <xf numFmtId="6" fontId="0" fillId="0" borderId="22" xfId="0" applyNumberFormat="1" applyBorder="1"/>
    <xf numFmtId="0" fontId="15" fillId="0" borderId="0" xfId="0" applyFont="1"/>
    <xf numFmtId="6" fontId="7" fillId="0" borderId="0" xfId="0" applyNumberFormat="1" applyFont="1" applyBorder="1"/>
    <xf numFmtId="10" fontId="0" fillId="0" borderId="21" xfId="0" applyNumberFormat="1" applyFont="1" applyBorder="1" applyAlignment="1">
      <alignment horizontal="right"/>
    </xf>
    <xf numFmtId="10" fontId="0" fillId="0" borderId="21" xfId="0" applyNumberFormat="1" applyFont="1" applyBorder="1"/>
    <xf numFmtId="0" fontId="0" fillId="0" borderId="0" xfId="0" applyFont="1" applyBorder="1" applyAlignment="1">
      <alignment horizontal="center"/>
    </xf>
    <xf numFmtId="165" fontId="0" fillId="0" borderId="0" xfId="0" applyNumberFormat="1" applyFont="1" applyBorder="1"/>
    <xf numFmtId="10" fontId="0" fillId="0" borderId="0" xfId="0" applyNumberFormat="1" applyFont="1" applyBorder="1"/>
    <xf numFmtId="165" fontId="0" fillId="3" borderId="21" xfId="0" applyNumberFormat="1" applyFont="1" applyFill="1" applyBorder="1"/>
    <xf numFmtId="0" fontId="0" fillId="0" borderId="0" xfId="0" applyBorder="1"/>
    <xf numFmtId="0" fontId="7" fillId="0" borderId="0" xfId="0" applyFont="1" applyBorder="1"/>
    <xf numFmtId="0" fontId="8" fillId="0" borderId="0" xfId="0" applyFont="1" applyBorder="1" applyAlignment="1">
      <alignment horizontal="center" wrapText="1"/>
    </xf>
    <xf numFmtId="164" fontId="5" fillId="0" borderId="0" xfId="0" applyNumberFormat="1" applyFont="1" applyBorder="1"/>
    <xf numFmtId="0" fontId="8" fillId="0" borderId="24" xfId="0" applyFont="1" applyBorder="1" applyAlignment="1">
      <alignment horizontal="center" wrapText="1"/>
    </xf>
    <xf numFmtId="0" fontId="9" fillId="0" borderId="24" xfId="0" applyFont="1" applyBorder="1" applyAlignment="1">
      <alignment horizontal="center" wrapText="1"/>
    </xf>
    <xf numFmtId="0" fontId="6" fillId="0" borderId="0" xfId="0" applyFont="1" applyBorder="1"/>
    <xf numFmtId="0" fontId="9" fillId="0" borderId="25" xfId="0" applyFont="1" applyBorder="1" applyAlignment="1">
      <alignment horizontal="center" wrapText="1"/>
    </xf>
    <xf numFmtId="164" fontId="8" fillId="0" borderId="0" xfId="1" applyNumberFormat="1" applyFont="1" applyBorder="1" applyAlignment="1">
      <alignment horizontal="center" wrapText="1"/>
    </xf>
    <xf numFmtId="0" fontId="10" fillId="0" borderId="0" xfId="0" applyFont="1" applyBorder="1"/>
    <xf numFmtId="0" fontId="9" fillId="0" borderId="26" xfId="0" applyFont="1" applyBorder="1" applyAlignment="1">
      <alignment horizontal="center" wrapText="1"/>
    </xf>
    <xf numFmtId="0" fontId="0" fillId="0" borderId="0" xfId="0" applyBorder="1" applyAlignment="1">
      <alignment horizontal="center" wrapText="1"/>
    </xf>
    <xf numFmtId="164" fontId="1" fillId="0" borderId="0" xfId="1" applyNumberFormat="1" applyFont="1" applyBorder="1" applyAlignment="1">
      <alignment horizontal="center" wrapText="1"/>
    </xf>
    <xf numFmtId="164" fontId="12" fillId="0" borderId="26" xfId="1" applyNumberFormat="1" applyFont="1" applyFill="1" applyBorder="1" applyAlignment="1">
      <alignment wrapText="1"/>
    </xf>
    <xf numFmtId="0" fontId="2" fillId="0" borderId="8" xfId="0" applyFont="1" applyBorder="1"/>
    <xf numFmtId="0" fontId="0" fillId="0" borderId="11" xfId="0" applyBorder="1"/>
    <xf numFmtId="0" fontId="0" fillId="0" borderId="27" xfId="0" applyFont="1" applyBorder="1" applyAlignment="1">
      <alignment horizontal="center" wrapText="1"/>
    </xf>
    <xf numFmtId="0" fontId="0" fillId="0" borderId="18" xfId="0" applyFont="1" applyBorder="1" applyAlignment="1">
      <alignment horizontal="center" wrapText="1"/>
    </xf>
    <xf numFmtId="165" fontId="0" fillId="0" borderId="22" xfId="0" applyNumberFormat="1" applyFont="1" applyBorder="1" applyAlignment="1">
      <alignment horizontal="right"/>
    </xf>
    <xf numFmtId="165" fontId="0" fillId="0" borderId="18" xfId="0" applyNumberFormat="1" applyFont="1" applyBorder="1" applyAlignment="1">
      <alignment horizontal="right"/>
    </xf>
    <xf numFmtId="165" fontId="0" fillId="0" borderId="22" xfId="0" applyNumberFormat="1" applyFont="1" applyBorder="1"/>
    <xf numFmtId="165" fontId="0" fillId="0" borderId="18" xfId="0" applyNumberFormat="1" applyFont="1" applyBorder="1"/>
    <xf numFmtId="165" fontId="0" fillId="0" borderId="28" xfId="0" applyNumberFormat="1" applyFont="1" applyBorder="1"/>
    <xf numFmtId="0" fontId="0" fillId="0" borderId="3" xfId="0" applyFont="1" applyBorder="1" applyAlignment="1">
      <alignment horizontal="center"/>
    </xf>
    <xf numFmtId="0" fontId="0" fillId="0" borderId="20" xfId="0" applyFont="1" applyBorder="1" applyAlignment="1">
      <alignment horizontal="center" wrapText="1"/>
    </xf>
    <xf numFmtId="0" fontId="0" fillId="0" borderId="24" xfId="0" applyFont="1" applyBorder="1" applyAlignment="1">
      <alignment horizontal="center" wrapText="1"/>
    </xf>
    <xf numFmtId="0" fontId="0" fillId="0" borderId="19" xfId="0" applyFont="1" applyBorder="1" applyAlignment="1">
      <alignment horizontal="center"/>
    </xf>
    <xf numFmtId="9" fontId="0" fillId="0" borderId="21" xfId="0" applyNumberFormat="1" applyFont="1" applyBorder="1" applyAlignment="1">
      <alignment horizontal="center"/>
    </xf>
    <xf numFmtId="0" fontId="0" fillId="5" borderId="0" xfId="0" applyFill="1" applyAlignment="1">
      <alignment horizontal="right" wrapText="1"/>
    </xf>
    <xf numFmtId="0" fontId="0" fillId="5" borderId="0" xfId="0" applyFill="1" applyAlignment="1">
      <alignment horizontal="right"/>
    </xf>
    <xf numFmtId="0" fontId="0" fillId="0" borderId="21" xfId="0" applyFont="1" applyBorder="1" applyAlignment="1">
      <alignment horizontal="center"/>
    </xf>
    <xf numFmtId="9" fontId="0" fillId="0" borderId="0" xfId="2" applyFont="1" applyFill="1" applyBorder="1" applyAlignment="1">
      <alignment wrapText="1"/>
    </xf>
    <xf numFmtId="0" fontId="0" fillId="0" borderId="17" xfId="0" applyFont="1" applyBorder="1" applyAlignment="1">
      <alignment horizontal="center"/>
    </xf>
    <xf numFmtId="0" fontId="0" fillId="0" borderId="21" xfId="0" applyFont="1" applyBorder="1" applyAlignment="1">
      <alignment horizontal="center"/>
    </xf>
    <xf numFmtId="165" fontId="0" fillId="0" borderId="0" xfId="0" applyNumberFormat="1"/>
    <xf numFmtId="165" fontId="0" fillId="0" borderId="2" xfId="0" applyNumberFormat="1" applyBorder="1"/>
    <xf numFmtId="1" fontId="0" fillId="0" borderId="2" xfId="0" applyNumberFormat="1" applyBorder="1"/>
    <xf numFmtId="1" fontId="0" fillId="0" borderId="0" xfId="0" applyNumberFormat="1"/>
    <xf numFmtId="165" fontId="2" fillId="0" borderId="28" xfId="0" applyNumberFormat="1" applyFont="1" applyBorder="1"/>
    <xf numFmtId="165" fontId="0" fillId="6" borderId="18" xfId="0" applyNumberFormat="1" applyFont="1" applyFill="1" applyBorder="1"/>
    <xf numFmtId="165" fontId="2" fillId="7" borderId="18" xfId="0" applyNumberFormat="1" applyFont="1" applyFill="1" applyBorder="1"/>
    <xf numFmtId="165" fontId="2" fillId="3" borderId="28" xfId="0" applyNumberFormat="1" applyFont="1" applyFill="1" applyBorder="1"/>
    <xf numFmtId="165" fontId="0" fillId="3" borderId="17" xfId="0" applyNumberFormat="1" applyFont="1" applyFill="1" applyBorder="1"/>
    <xf numFmtId="165" fontId="2" fillId="0" borderId="22" xfId="0" applyNumberFormat="1" applyFont="1" applyBorder="1"/>
    <xf numFmtId="165" fontId="2" fillId="3" borderId="22" xfId="0" applyNumberFormat="1" applyFont="1" applyFill="1" applyBorder="1"/>
    <xf numFmtId="165" fontId="0" fillId="6" borderId="18" xfId="0" applyNumberFormat="1" applyFont="1" applyFill="1" applyBorder="1" applyAlignment="1">
      <alignment horizontal="right"/>
    </xf>
    <xf numFmtId="165" fontId="0" fillId="3" borderId="17" xfId="0" applyNumberFormat="1" applyFont="1" applyFill="1" applyBorder="1" applyAlignment="1">
      <alignment horizontal="right"/>
    </xf>
    <xf numFmtId="165" fontId="0" fillId="3" borderId="21" xfId="0" applyNumberFormat="1" applyFont="1" applyFill="1" applyBorder="1" applyAlignment="1">
      <alignment horizontal="right"/>
    </xf>
    <xf numFmtId="0" fontId="2" fillId="0" borderId="27" xfId="0" applyFont="1" applyFill="1" applyBorder="1" applyAlignment="1">
      <alignment horizontal="center" wrapText="1"/>
    </xf>
    <xf numFmtId="0" fontId="2" fillId="6" borderId="18" xfId="0" applyFont="1" applyFill="1" applyBorder="1" applyAlignment="1">
      <alignment horizontal="center" wrapText="1"/>
    </xf>
    <xf numFmtId="0" fontId="2" fillId="7" borderId="18" xfId="0" applyFont="1" applyFill="1" applyBorder="1" applyAlignment="1">
      <alignment horizontal="center" wrapText="1"/>
    </xf>
    <xf numFmtId="0" fontId="2" fillId="3" borderId="27" xfId="0" applyFont="1" applyFill="1" applyBorder="1" applyAlignment="1">
      <alignment horizontal="center" wrapText="1"/>
    </xf>
    <xf numFmtId="0" fontId="2" fillId="3" borderId="17" xfId="0" applyFont="1" applyFill="1" applyBorder="1" applyAlignment="1">
      <alignment horizontal="center" wrapText="1"/>
    </xf>
    <xf numFmtId="0" fontId="2" fillId="3" borderId="21" xfId="0" applyFont="1" applyFill="1" applyBorder="1" applyAlignment="1">
      <alignment horizontal="center" wrapText="1"/>
    </xf>
    <xf numFmtId="0" fontId="2" fillId="0" borderId="21" xfId="0" applyFont="1" applyBorder="1" applyAlignment="1">
      <alignment horizontal="center" wrapText="1"/>
    </xf>
    <xf numFmtId="44" fontId="0" fillId="0" borderId="0" xfId="1" applyFont="1"/>
    <xf numFmtId="44" fontId="2" fillId="0" borderId="0" xfId="1" applyFont="1" applyAlignment="1">
      <alignment horizontal="center" wrapText="1"/>
    </xf>
    <xf numFmtId="164" fontId="0" fillId="0" borderId="0" xfId="1" applyNumberFormat="1" applyFont="1" applyAlignment="1">
      <alignment horizontal="center"/>
    </xf>
    <xf numFmtId="164" fontId="0" fillId="0" borderId="0" xfId="0" applyNumberFormat="1"/>
    <xf numFmtId="0" fontId="2" fillId="0" borderId="0" xfId="0" applyFont="1" applyAlignment="1">
      <alignment wrapText="1"/>
    </xf>
    <xf numFmtId="9" fontId="0" fillId="0" borderId="0" xfId="2" applyFont="1" applyAlignment="1">
      <alignment horizontal="center"/>
    </xf>
    <xf numFmtId="8" fontId="0" fillId="0" borderId="0" xfId="0" applyNumberFormat="1"/>
    <xf numFmtId="9" fontId="0" fillId="0" borderId="0" xfId="0" applyNumberFormat="1" applyAlignment="1">
      <alignment horizontal="center"/>
    </xf>
    <xf numFmtId="0" fontId="0" fillId="0" borderId="0" xfId="0" applyFill="1" applyBorder="1"/>
    <xf numFmtId="165" fontId="0" fillId="0" borderId="0" xfId="0" applyNumberFormat="1" applyFill="1" applyBorder="1"/>
    <xf numFmtId="165" fontId="0" fillId="8" borderId="0" xfId="0" applyNumberFormat="1" applyFill="1" applyBorder="1"/>
    <xf numFmtId="6" fontId="7" fillId="0" borderId="29" xfId="0" applyNumberFormat="1" applyFont="1" applyBorder="1"/>
    <xf numFmtId="6" fontId="7" fillId="0" borderId="30" xfId="0" applyNumberFormat="1" applyFont="1" applyBorder="1" applyAlignment="1">
      <alignment horizontal="right"/>
    </xf>
    <xf numFmtId="165" fontId="0" fillId="6" borderId="0" xfId="0" applyNumberFormat="1" applyFont="1" applyFill="1" applyBorder="1"/>
    <xf numFmtId="0" fontId="0" fillId="6" borderId="0" xfId="0" applyFont="1" applyFill="1" applyBorder="1" applyAlignment="1">
      <alignment horizontal="left"/>
    </xf>
    <xf numFmtId="9" fontId="0" fillId="9" borderId="31" xfId="0" applyNumberFormat="1" applyFont="1" applyFill="1" applyBorder="1" applyAlignment="1">
      <alignment horizontal="center"/>
    </xf>
    <xf numFmtId="165" fontId="0" fillId="9" borderId="32" xfId="0" applyNumberFormat="1" applyFont="1" applyFill="1" applyBorder="1"/>
    <xf numFmtId="9" fontId="0" fillId="0" borderId="17" xfId="0" applyNumberFormat="1" applyFont="1" applyBorder="1" applyAlignment="1">
      <alignment horizontal="center"/>
    </xf>
    <xf numFmtId="165" fontId="0" fillId="0" borderId="18" xfId="0" applyNumberFormat="1" applyFont="1" applyBorder="1" applyAlignment="1">
      <alignment horizontal="center"/>
    </xf>
    <xf numFmtId="9" fontId="0" fillId="4" borderId="31" xfId="0" applyNumberFormat="1" applyFont="1" applyFill="1" applyBorder="1" applyAlignment="1">
      <alignment horizontal="center"/>
    </xf>
    <xf numFmtId="165" fontId="0" fillId="4" borderId="32" xfId="0" applyNumberFormat="1" applyFont="1" applyFill="1" applyBorder="1"/>
    <xf numFmtId="165" fontId="8" fillId="0" borderId="18" xfId="0" applyNumberFormat="1" applyFont="1" applyFill="1" applyBorder="1" applyAlignment="1">
      <alignment horizontal="center"/>
    </xf>
    <xf numFmtId="9" fontId="0" fillId="3" borderId="31" xfId="0" applyNumberFormat="1" applyFont="1" applyFill="1" applyBorder="1" applyAlignment="1">
      <alignment horizontal="center"/>
    </xf>
    <xf numFmtId="165" fontId="0" fillId="3" borderId="32" xfId="0" applyNumberFormat="1" applyFont="1" applyFill="1" applyBorder="1"/>
    <xf numFmtId="165" fontId="0" fillId="6" borderId="16" xfId="0" applyNumberFormat="1" applyFont="1" applyFill="1" applyBorder="1"/>
    <xf numFmtId="9" fontId="0" fillId="9" borderId="33" xfId="0" applyNumberFormat="1" applyFont="1" applyFill="1" applyBorder="1" applyAlignment="1">
      <alignment horizontal="center"/>
    </xf>
    <xf numFmtId="165" fontId="0" fillId="9" borderId="34" xfId="0" applyNumberFormat="1" applyFont="1" applyFill="1" applyBorder="1"/>
    <xf numFmtId="9" fontId="0" fillId="4" borderId="33" xfId="0" applyNumberFormat="1" applyFont="1" applyFill="1" applyBorder="1" applyAlignment="1">
      <alignment horizontal="center"/>
    </xf>
    <xf numFmtId="165" fontId="0" fillId="4" borderId="34" xfId="0" applyNumberFormat="1" applyFont="1" applyFill="1" applyBorder="1"/>
    <xf numFmtId="9" fontId="0" fillId="3" borderId="33" xfId="0" applyNumberFormat="1" applyFont="1" applyFill="1" applyBorder="1" applyAlignment="1">
      <alignment horizontal="center"/>
    </xf>
    <xf numFmtId="165" fontId="0" fillId="3" borderId="34" xfId="0" applyNumberFormat="1" applyFont="1" applyFill="1" applyBorder="1"/>
    <xf numFmtId="165" fontId="0" fillId="0" borderId="16" xfId="0" applyNumberFormat="1" applyFont="1" applyBorder="1"/>
    <xf numFmtId="0" fontId="0" fillId="0" borderId="35" xfId="0" applyFont="1" applyFill="1" applyBorder="1" applyAlignment="1">
      <alignment horizontal="center" wrapText="1"/>
    </xf>
    <xf numFmtId="0" fontId="0" fillId="9" borderId="36" xfId="0" applyFont="1" applyFill="1" applyBorder="1" applyAlignment="1">
      <alignment horizontal="center"/>
    </xf>
    <xf numFmtId="0" fontId="0" fillId="9" borderId="35" xfId="0" applyFont="1" applyFill="1" applyBorder="1" applyAlignment="1">
      <alignment horizontal="center" wrapText="1"/>
    </xf>
    <xf numFmtId="0" fontId="0" fillId="4" borderId="36" xfId="0" applyFont="1" applyFill="1" applyBorder="1" applyAlignment="1">
      <alignment horizontal="center"/>
    </xf>
    <xf numFmtId="0" fontId="0" fillId="4" borderId="35" xfId="0" applyFont="1" applyFill="1" applyBorder="1" applyAlignment="1">
      <alignment horizontal="center" wrapText="1"/>
    </xf>
    <xf numFmtId="0" fontId="0" fillId="0" borderId="3" xfId="0" applyFont="1" applyBorder="1" applyAlignment="1">
      <alignment horizontal="center" wrapText="1"/>
    </xf>
    <xf numFmtId="0" fontId="0" fillId="3" borderId="36" xfId="0" applyFont="1" applyFill="1" applyBorder="1" applyAlignment="1">
      <alignment horizontal="center" wrapText="1"/>
    </xf>
    <xf numFmtId="0" fontId="0" fillId="3" borderId="35" xfId="0" applyFont="1" applyFill="1" applyBorder="1" applyAlignment="1">
      <alignment horizontal="center" wrapText="1"/>
    </xf>
    <xf numFmtId="0" fontId="0" fillId="0" borderId="2" xfId="0" applyFont="1" applyBorder="1" applyAlignment="1">
      <alignment horizontal="center" wrapText="1"/>
    </xf>
    <xf numFmtId="9" fontId="0" fillId="0" borderId="0" xfId="0" applyNumberFormat="1" applyFont="1" applyBorder="1" applyAlignment="1">
      <alignment horizontal="center"/>
    </xf>
    <xf numFmtId="0" fontId="2" fillId="0" borderId="38" xfId="0" applyFont="1" applyBorder="1"/>
    <xf numFmtId="0" fontId="2" fillId="0" borderId="39" xfId="0" applyFont="1" applyBorder="1"/>
    <xf numFmtId="0" fontId="2" fillId="0" borderId="40" xfId="0" applyFont="1" applyBorder="1"/>
    <xf numFmtId="0" fontId="0" fillId="0" borderId="7" xfId="0" applyBorder="1"/>
    <xf numFmtId="164" fontId="0" fillId="0" borderId="41" xfId="1" applyNumberFormat="1" applyFont="1" applyBorder="1"/>
    <xf numFmtId="166" fontId="2" fillId="0" borderId="41" xfId="2" applyNumberFormat="1" applyFont="1" applyBorder="1"/>
    <xf numFmtId="166" fontId="2" fillId="0" borderId="5" xfId="2" applyNumberFormat="1" applyFont="1" applyBorder="1"/>
    <xf numFmtId="0" fontId="7" fillId="0" borderId="10" xfId="0" applyFont="1" applyBorder="1" applyAlignment="1"/>
    <xf numFmtId="0" fontId="2" fillId="0" borderId="0" xfId="0" applyFont="1" applyBorder="1" applyAlignment="1">
      <alignment wrapText="1"/>
    </xf>
    <xf numFmtId="0" fontId="2" fillId="0" borderId="12" xfId="0" applyFont="1" applyBorder="1" applyAlignment="1">
      <alignment wrapText="1"/>
    </xf>
    <xf numFmtId="164" fontId="0" fillId="0" borderId="0" xfId="0" applyNumberFormat="1" applyBorder="1"/>
    <xf numFmtId="165" fontId="0" fillId="0" borderId="0" xfId="0" applyNumberFormat="1" applyBorder="1"/>
    <xf numFmtId="164" fontId="0" fillId="0" borderId="12" xfId="0" applyNumberFormat="1" applyBorder="1"/>
    <xf numFmtId="0" fontId="0" fillId="0" borderId="12" xfId="0" applyBorder="1"/>
    <xf numFmtId="166" fontId="0" fillId="0" borderId="0" xfId="2" applyNumberFormat="1" applyFont="1" applyBorder="1"/>
    <xf numFmtId="166" fontId="0" fillId="0" borderId="12" xfId="2" applyNumberFormat="1" applyFont="1" applyBorder="1"/>
    <xf numFmtId="0" fontId="0" fillId="0" borderId="13" xfId="0" applyBorder="1"/>
    <xf numFmtId="166" fontId="0" fillId="0" borderId="14" xfId="2" applyNumberFormat="1" applyFont="1" applyBorder="1"/>
    <xf numFmtId="166" fontId="0" fillId="0" borderId="15" xfId="2" applyNumberFormat="1" applyFont="1" applyBorder="1"/>
    <xf numFmtId="0" fontId="7" fillId="0" borderId="9" xfId="0" applyFont="1" applyBorder="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23" xfId="0" applyFont="1" applyBorder="1" applyAlignment="1">
      <alignment vertical="center" wrapText="1"/>
    </xf>
    <xf numFmtId="0" fontId="2" fillId="0" borderId="6" xfId="0" applyFont="1" applyBorder="1" applyAlignment="1">
      <alignment horizontal="center" vertical="center" wrapText="1"/>
    </xf>
    <xf numFmtId="0" fontId="2" fillId="0" borderId="42" xfId="0" applyFont="1" applyBorder="1" applyAlignment="1">
      <alignment horizontal="center" vertical="center" wrapText="1"/>
    </xf>
    <xf numFmtId="0" fontId="0" fillId="0" borderId="1" xfId="0" applyBorder="1" applyAlignment="1">
      <alignment vertical="center" wrapText="1"/>
    </xf>
    <xf numFmtId="0" fontId="0" fillId="0" borderId="26" xfId="0" applyBorder="1" applyAlignment="1">
      <alignment horizontal="center" vertical="center" wrapText="1"/>
    </xf>
    <xf numFmtId="0" fontId="0" fillId="0" borderId="3" xfId="0" applyBorder="1" applyAlignment="1">
      <alignment vertical="center" wrapText="1"/>
    </xf>
    <xf numFmtId="0" fontId="7" fillId="0" borderId="0" xfId="0" applyFont="1" applyBorder="1" applyAlignment="1">
      <alignment horizontal="center" vertical="center" wrapText="1"/>
    </xf>
    <xf numFmtId="0" fontId="7" fillId="0" borderId="1" xfId="0" applyFont="1" applyBorder="1" applyAlignment="1">
      <alignment vertical="center" wrapText="1"/>
    </xf>
    <xf numFmtId="0" fontId="7" fillId="0" borderId="26" xfId="0" applyFont="1" applyBorder="1" applyAlignment="1">
      <alignment horizontal="center" vertical="center" wrapText="1"/>
    </xf>
    <xf numFmtId="9" fontId="0" fillId="0" borderId="26" xfId="2" applyFont="1" applyBorder="1" applyAlignment="1">
      <alignment horizontal="center" vertical="center" wrapText="1"/>
    </xf>
    <xf numFmtId="9" fontId="0" fillId="0" borderId="24" xfId="2" applyFont="1" applyBorder="1" applyAlignment="1">
      <alignment horizontal="center" vertical="center" wrapText="1"/>
    </xf>
    <xf numFmtId="164" fontId="0" fillId="0" borderId="0" xfId="1" applyNumberFormat="1" applyFont="1" applyBorder="1" applyAlignment="1">
      <alignment horizontal="center" vertical="center" wrapText="1"/>
    </xf>
    <xf numFmtId="164" fontId="0" fillId="0" borderId="26" xfId="1" applyNumberFormat="1" applyFont="1" applyBorder="1" applyAlignment="1">
      <alignment horizontal="center" vertical="center" wrapText="1"/>
    </xf>
    <xf numFmtId="0" fontId="0" fillId="10" borderId="0" xfId="0" applyFill="1"/>
    <xf numFmtId="166" fontId="0" fillId="0" borderId="0" xfId="2" applyNumberFormat="1" applyFont="1" applyBorder="1" applyAlignment="1">
      <alignment horizontal="center" vertical="center" wrapText="1"/>
    </xf>
    <xf numFmtId="166" fontId="0" fillId="0" borderId="26" xfId="2" applyNumberFormat="1" applyFont="1" applyBorder="1" applyAlignment="1">
      <alignment horizontal="center" vertical="center" wrapText="1"/>
    </xf>
    <xf numFmtId="166" fontId="0" fillId="0" borderId="2" xfId="2" applyNumberFormat="1" applyFont="1" applyBorder="1" applyAlignment="1">
      <alignment horizontal="center" vertical="center" wrapText="1"/>
    </xf>
    <xf numFmtId="166" fontId="0" fillId="0" borderId="24" xfId="2" applyNumberFormat="1" applyFont="1" applyBorder="1" applyAlignment="1">
      <alignment horizontal="center" vertical="center" wrapText="1"/>
    </xf>
    <xf numFmtId="0" fontId="2" fillId="0" borderId="23" xfId="0" applyFont="1" applyBorder="1"/>
    <xf numFmtId="0" fontId="7" fillId="0" borderId="0" xfId="0" applyFont="1" applyBorder="1" applyAlignment="1">
      <alignment horizontal="center" wrapText="1"/>
    </xf>
    <xf numFmtId="0" fontId="7" fillId="0" borderId="26" xfId="0" applyFont="1" applyBorder="1" applyAlignment="1">
      <alignment horizontal="center" wrapText="1"/>
    </xf>
    <xf numFmtId="164" fontId="0" fillId="0" borderId="0" xfId="1" applyNumberFormat="1" applyFont="1" applyBorder="1" applyAlignment="1">
      <alignment horizontal="center" wrapText="1"/>
    </xf>
    <xf numFmtId="164" fontId="0" fillId="0" borderId="26" xfId="1" applyNumberFormat="1" applyFont="1" applyBorder="1" applyAlignment="1">
      <alignment horizontal="center" wrapText="1"/>
    </xf>
    <xf numFmtId="0" fontId="0" fillId="0" borderId="26" xfId="0" applyBorder="1" applyAlignment="1">
      <alignment horizontal="center" wrapText="1"/>
    </xf>
    <xf numFmtId="9" fontId="0" fillId="0" borderId="0" xfId="2" applyFont="1" applyBorder="1" applyAlignment="1">
      <alignment horizontal="center" wrapText="1"/>
    </xf>
    <xf numFmtId="9" fontId="0" fillId="0" borderId="26" xfId="2" applyFont="1" applyBorder="1" applyAlignment="1">
      <alignment horizontal="center" wrapText="1"/>
    </xf>
    <xf numFmtId="0" fontId="0" fillId="0" borderId="3" xfId="0" applyBorder="1"/>
    <xf numFmtId="9" fontId="0" fillId="0" borderId="2" xfId="2" applyFont="1" applyBorder="1" applyAlignment="1">
      <alignment horizontal="center" wrapText="1"/>
    </xf>
    <xf numFmtId="9" fontId="0" fillId="0" borderId="24" xfId="2" applyFont="1" applyBorder="1" applyAlignment="1">
      <alignment horizontal="center" wrapText="1"/>
    </xf>
    <xf numFmtId="0" fontId="2" fillId="0" borderId="0" xfId="0" applyFont="1" applyBorder="1" applyAlignment="1">
      <alignment horizontal="center" wrapText="1"/>
    </xf>
    <xf numFmtId="0" fontId="2" fillId="0" borderId="26" xfId="0" applyFont="1" applyBorder="1" applyAlignment="1">
      <alignment horizontal="center" wrapText="1"/>
    </xf>
    <xf numFmtId="166" fontId="0" fillId="0" borderId="0" xfId="2" applyNumberFormat="1" applyFont="1" applyBorder="1" applyAlignment="1">
      <alignment horizontal="center" wrapText="1"/>
    </xf>
    <xf numFmtId="166" fontId="0" fillId="0" borderId="26" xfId="2" applyNumberFormat="1" applyFont="1" applyBorder="1" applyAlignment="1">
      <alignment horizontal="center" wrapText="1"/>
    </xf>
    <xf numFmtId="166" fontId="0" fillId="0" borderId="2" xfId="2" applyNumberFormat="1" applyFont="1" applyBorder="1" applyAlignment="1">
      <alignment horizontal="center" wrapText="1"/>
    </xf>
    <xf numFmtId="166" fontId="0" fillId="0" borderId="24" xfId="2" applyNumberFormat="1" applyFont="1" applyBorder="1" applyAlignment="1">
      <alignment horizontal="center" wrapText="1"/>
    </xf>
    <xf numFmtId="0" fontId="2" fillId="0" borderId="6" xfId="0" applyFont="1" applyBorder="1" applyAlignment="1">
      <alignment horizontal="center" wrapText="1"/>
    </xf>
    <xf numFmtId="0" fontId="2" fillId="0" borderId="42" xfId="0" applyFont="1" applyBorder="1" applyAlignment="1">
      <alignment horizontal="center" wrapText="1"/>
    </xf>
    <xf numFmtId="166" fontId="6" fillId="0" borderId="26" xfId="2" applyNumberFormat="1" applyFont="1" applyBorder="1" applyAlignment="1">
      <alignment horizontal="center" wrapText="1"/>
    </xf>
    <xf numFmtId="166" fontId="6" fillId="0" borderId="24" xfId="2" applyNumberFormat="1" applyFont="1" applyBorder="1" applyAlignment="1">
      <alignment horizontal="center" wrapText="1"/>
    </xf>
    <xf numFmtId="166" fontId="0" fillId="0" borderId="11" xfId="2" applyNumberFormat="1" applyFont="1" applyBorder="1"/>
    <xf numFmtId="166" fontId="0" fillId="0" borderId="13" xfId="2" applyNumberFormat="1" applyFont="1" applyBorder="1"/>
    <xf numFmtId="10" fontId="1" fillId="0" borderId="0" xfId="2" applyNumberFormat="1" applyFont="1" applyFill="1" applyBorder="1" applyAlignment="1">
      <alignment wrapText="1"/>
    </xf>
    <xf numFmtId="10" fontId="0" fillId="0" borderId="0" xfId="2" applyNumberFormat="1" applyFont="1" applyFill="1" applyBorder="1" applyAlignment="1">
      <alignment wrapText="1"/>
    </xf>
    <xf numFmtId="10" fontId="0" fillId="0" borderId="0" xfId="0" applyNumberFormat="1" applyBorder="1"/>
    <xf numFmtId="0" fontId="7" fillId="0" borderId="0" xfId="0" applyFont="1" applyBorder="1" applyAlignment="1">
      <alignment horizontal="center" vertical="center" wrapText="1"/>
    </xf>
    <xf numFmtId="164" fontId="5" fillId="0" borderId="0" xfId="1" applyNumberFormat="1" applyFont="1" applyAlignment="1">
      <alignment horizontal="center" wrapText="1"/>
    </xf>
    <xf numFmtId="164" fontId="0" fillId="0" borderId="0" xfId="1" applyNumberFormat="1" applyFont="1" applyAlignment="1">
      <alignment horizontal="center" wrapText="1"/>
    </xf>
    <xf numFmtId="164" fontId="0" fillId="0" borderId="2" xfId="1" applyNumberFormat="1" applyFont="1" applyBorder="1" applyAlignment="1">
      <alignment horizontal="center" wrapText="1"/>
    </xf>
    <xf numFmtId="164" fontId="11" fillId="0" borderId="0" xfId="1" applyNumberFormat="1" applyFont="1" applyAlignment="1">
      <alignment horizontal="center" wrapText="1"/>
    </xf>
    <xf numFmtId="164" fontId="4" fillId="0" borderId="0" xfId="1" applyNumberFormat="1" applyFont="1" applyAlignment="1">
      <alignment horizontal="center" wrapText="1"/>
    </xf>
    <xf numFmtId="164" fontId="0" fillId="0" borderId="0" xfId="0" applyNumberFormat="1" applyBorder="1" applyAlignment="1">
      <alignment horizontal="center" vertical="center" wrapText="1"/>
    </xf>
    <xf numFmtId="166" fontId="0" fillId="0" borderId="0" xfId="2" applyNumberFormat="1" applyFont="1" applyFill="1" applyBorder="1" applyAlignment="1">
      <alignment wrapText="1"/>
    </xf>
    <xf numFmtId="10" fontId="0" fillId="0" borderId="1" xfId="2" applyNumberFormat="1" applyFont="1" applyFill="1" applyBorder="1" applyAlignment="1">
      <alignment wrapText="1"/>
    </xf>
    <xf numFmtId="0" fontId="2" fillId="0" borderId="9" xfId="0" applyFont="1" applyBorder="1"/>
    <xf numFmtId="0" fontId="2" fillId="0" borderId="10" xfId="0" applyFont="1" applyBorder="1"/>
    <xf numFmtId="10" fontId="0" fillId="0" borderId="11" xfId="2" applyNumberFormat="1" applyFont="1" applyBorder="1"/>
    <xf numFmtId="10" fontId="0" fillId="0" borderId="0" xfId="2" applyNumberFormat="1" applyFont="1" applyBorder="1"/>
    <xf numFmtId="10" fontId="0" fillId="0" borderId="12" xfId="2" applyNumberFormat="1" applyFont="1" applyBorder="1"/>
    <xf numFmtId="10" fontId="0" fillId="0" borderId="13" xfId="2" applyNumberFormat="1" applyFont="1" applyBorder="1"/>
    <xf numFmtId="10" fontId="0" fillId="0" borderId="14" xfId="2" applyNumberFormat="1" applyFont="1" applyBorder="1"/>
    <xf numFmtId="10" fontId="0" fillId="0" borderId="15" xfId="2" applyNumberFormat="1" applyFont="1" applyBorder="1"/>
    <xf numFmtId="164" fontId="18" fillId="0" borderId="0" xfId="1" applyNumberFormat="1" applyFont="1"/>
    <xf numFmtId="164" fontId="19" fillId="0" borderId="0" xfId="1" applyNumberFormat="1" applyFont="1"/>
    <xf numFmtId="164" fontId="20" fillId="0" borderId="0" xfId="1" applyNumberFormat="1" applyFont="1"/>
    <xf numFmtId="166" fontId="0" fillId="0" borderId="0" xfId="0" applyNumberFormat="1" applyAlignment="1">
      <alignment horizontal="center" vertical="center" wrapText="1"/>
    </xf>
    <xf numFmtId="166" fontId="0" fillId="0" borderId="2" xfId="0" applyNumberFormat="1" applyBorder="1" applyAlignment="1">
      <alignment horizontal="center" vertical="center" wrapText="1"/>
    </xf>
    <xf numFmtId="0" fontId="7"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2" xfId="0" applyFont="1" applyBorder="1" applyAlignment="1">
      <alignment horizontal="center" vertical="center" wrapText="1"/>
    </xf>
    <xf numFmtId="0" fontId="2" fillId="4" borderId="0" xfId="0" applyFont="1" applyFill="1" applyAlignment="1">
      <alignment horizontal="center" vertical="center" wrapText="1"/>
    </xf>
    <xf numFmtId="0" fontId="7" fillId="0" borderId="6" xfId="0" applyFont="1" applyBorder="1" applyAlignment="1">
      <alignment horizontal="center" wrapText="1"/>
    </xf>
    <xf numFmtId="0" fontId="7" fillId="0" borderId="42" xfId="0" applyFont="1" applyBorder="1" applyAlignment="1">
      <alignment horizontal="center" wrapText="1"/>
    </xf>
    <xf numFmtId="0" fontId="7" fillId="0" borderId="0" xfId="0" applyFont="1" applyBorder="1" applyAlignment="1">
      <alignment horizontal="center" wrapText="1"/>
    </xf>
    <xf numFmtId="0" fontId="7" fillId="0" borderId="26" xfId="0" applyFont="1" applyBorder="1" applyAlignment="1">
      <alignment horizontal="center" wrapText="1"/>
    </xf>
    <xf numFmtId="0" fontId="2" fillId="0" borderId="6" xfId="0" applyFont="1" applyBorder="1" applyAlignment="1">
      <alignment horizontal="center" wrapText="1"/>
    </xf>
    <xf numFmtId="0" fontId="2" fillId="0" borderId="42" xfId="0" applyFont="1" applyBorder="1" applyAlignment="1">
      <alignment horizontal="center" wrapText="1"/>
    </xf>
    <xf numFmtId="0" fontId="2" fillId="0" borderId="0" xfId="0" applyFont="1" applyBorder="1" applyAlignment="1">
      <alignment horizontal="center" wrapText="1"/>
    </xf>
    <xf numFmtId="0" fontId="2" fillId="0" borderId="26" xfId="0" applyFont="1" applyBorder="1" applyAlignment="1">
      <alignment horizontal="center" wrapText="1"/>
    </xf>
    <xf numFmtId="44" fontId="2" fillId="0" borderId="0" xfId="1" applyFont="1" applyAlignment="1">
      <alignment horizontal="center"/>
    </xf>
    <xf numFmtId="0" fontId="7" fillId="0" borderId="9" xfId="0" applyFont="1" applyBorder="1" applyAlignment="1">
      <alignment horizontal="center"/>
    </xf>
    <xf numFmtId="0" fontId="0" fillId="0" borderId="17" xfId="0" applyFont="1" applyBorder="1" applyAlignment="1">
      <alignment horizontal="center"/>
    </xf>
    <xf numFmtId="0" fontId="0" fillId="0" borderId="6" xfId="0" applyFont="1" applyBorder="1" applyAlignment="1">
      <alignment horizontal="center"/>
    </xf>
    <xf numFmtId="0" fontId="0" fillId="0" borderId="16" xfId="0" applyFont="1" applyBorder="1" applyAlignment="1">
      <alignment horizontal="center"/>
    </xf>
    <xf numFmtId="0" fontId="0" fillId="0" borderId="18" xfId="0" applyFont="1" applyBorder="1" applyAlignment="1">
      <alignment horizontal="center"/>
    </xf>
    <xf numFmtId="0" fontId="0" fillId="0" borderId="21" xfId="0" applyFont="1" applyBorder="1" applyAlignment="1">
      <alignment horizontal="center"/>
    </xf>
    <xf numFmtId="0" fontId="0" fillId="0" borderId="37" xfId="0" applyFon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2" fillId="0" borderId="2" xfId="0" applyFont="1" applyBorder="1" applyAlignment="1">
      <alignment horizontal="center"/>
    </xf>
  </cellXfs>
  <cellStyles count="7">
    <cellStyle name="Currency" xfId="1" builtinId="4"/>
    <cellStyle name="Currency 2" xfId="3"/>
    <cellStyle name="Normal" xfId="0" builtinId="0"/>
    <cellStyle name="Normal 2" xfId="4"/>
    <cellStyle name="Normal 2 2" xfId="5"/>
    <cellStyle name="Normal 3"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95250</xdr:colOff>
      <xdr:row>33</xdr:row>
      <xdr:rowOff>180976</xdr:rowOff>
    </xdr:from>
    <xdr:to>
      <xdr:col>8</xdr:col>
      <xdr:colOff>123825</xdr:colOff>
      <xdr:row>48</xdr:row>
      <xdr:rowOff>152401</xdr:rowOff>
    </xdr:to>
    <xdr:sp macro="" textlink="">
      <xdr:nvSpPr>
        <xdr:cNvPr id="7" name="TextBox 6">
          <a:extLst>
            <a:ext uri="{FF2B5EF4-FFF2-40B4-BE49-F238E27FC236}">
              <a16:creationId xmlns:a16="http://schemas.microsoft.com/office/drawing/2014/main" xmlns="" id="{00000000-0008-0000-0100-000005000000}"/>
            </a:ext>
          </a:extLst>
        </xdr:cNvPr>
        <xdr:cNvSpPr txBox="1"/>
      </xdr:nvSpPr>
      <xdr:spPr>
        <a:xfrm>
          <a:off x="95250" y="12087226"/>
          <a:ext cx="11401425"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*EVOSTC</a:t>
          </a:r>
          <a:r>
            <a:rPr lang="en-US" sz="1100" baseline="0"/>
            <a:t> supportcost is calculated by dividing the total F16 EVOSTC annual budget (without indirect) dedicated to Science support with GA from cell K138 (worksheet 2)  by 31 total projects (19 GWA, 11 HRM, 1 PIGU) to get EVOSTC admin cost per project. Then for  GWA, multiply by 19 projects, for HRM multiply by 11 projects. EVOSTC indirect cost is the same as support cost except using the total FY16 EVOSTC annual budget indirect in cell K139 (worksheet 2).</a:t>
          </a:r>
        </a:p>
        <a:p>
          <a:endParaRPr lang="en-US" sz="1100" baseline="0"/>
        </a:p>
        <a:p>
          <a:r>
            <a:rPr lang="en-US" sz="1100" baseline="0"/>
            <a:t>**PWSSC Management for  GWA program is the cost without GA for Program Mangement II-Hoffman (project 16120114-B).</a:t>
          </a:r>
        </a:p>
        <a:p>
          <a:r>
            <a:rPr lang="en-US" sz="1100" baseline="0"/>
            <a:t>PWSSC </a:t>
          </a:r>
          <a:r>
            <a:rPr lang="en-US" sz="1100" baseline="0">
              <a:solidFill>
                <a:schemeClr val="dk1"/>
              </a:solidFill>
              <a:effectLst/>
              <a:latin typeface="+mn-lt"/>
              <a:ea typeface="+mn-ea"/>
              <a:cs typeface="+mn-cs"/>
            </a:rPr>
            <a:t>Management </a:t>
          </a:r>
          <a:r>
            <a:rPr lang="en-US" sz="1100" baseline="0"/>
            <a:t>for HRM program is the cost without GA for Program Coordination-Pegau (project 16120111-A).</a:t>
          </a:r>
        </a:p>
        <a:p>
          <a:endParaRPr lang="en-US" sz="1100" baseline="0"/>
        </a:p>
        <a:p>
          <a:r>
            <a:rPr lang="en-US" sz="1100" baseline="0"/>
            <a:t>***Project Cost is project amount from workplan budget without 3rd party Indirect,  PWSSC Management and GA.</a:t>
          </a:r>
          <a:r>
            <a:rPr lang="en-US" sz="1100" baseline="0">
              <a:solidFill>
                <a:schemeClr val="dk1"/>
              </a:solidFill>
              <a:latin typeface="+mn-lt"/>
              <a:ea typeface="+mn-ea"/>
              <a:cs typeface="+mn-cs"/>
            </a:rPr>
            <a:t> </a:t>
          </a:r>
          <a:endParaRPr lang="en-US" sz="1100" baseline="0"/>
        </a:p>
        <a:p>
          <a:endParaRPr lang="en-US" sz="1100" baseline="0"/>
        </a:p>
        <a:p>
          <a:r>
            <a:rPr lang="en-US" sz="1100" baseline="0"/>
            <a:t>**** Total Project cost includes Project, </a:t>
          </a:r>
          <a:r>
            <a:rPr lang="en-US" sz="1100" baseline="0">
              <a:solidFill>
                <a:schemeClr val="dk1"/>
              </a:solidFill>
              <a:effectLst/>
              <a:latin typeface="+mn-lt"/>
              <a:ea typeface="+mn-ea"/>
              <a:cs typeface="+mn-cs"/>
            </a:rPr>
            <a:t>3rd party </a:t>
          </a:r>
          <a:r>
            <a:rPr lang="en-US" sz="1100" baseline="0"/>
            <a:t>Indirect, EVOSTC </a:t>
          </a:r>
          <a:r>
            <a:rPr lang="en-US" sz="1100" baseline="0">
              <a:solidFill>
                <a:schemeClr val="dk1"/>
              </a:solidFill>
              <a:effectLst/>
              <a:latin typeface="+mn-lt"/>
              <a:ea typeface="+mn-ea"/>
              <a:cs typeface="+mn-cs"/>
            </a:rPr>
            <a:t>Management </a:t>
          </a:r>
          <a:r>
            <a:rPr lang="en-US" sz="1100" baseline="0"/>
            <a:t>, EVOSTC Indirect, PWSSC </a:t>
          </a:r>
          <a:r>
            <a:rPr lang="en-US" sz="1100" baseline="0">
              <a:solidFill>
                <a:schemeClr val="dk1"/>
              </a:solidFill>
              <a:effectLst/>
              <a:latin typeface="+mn-lt"/>
              <a:ea typeface="+mn-ea"/>
              <a:cs typeface="+mn-cs"/>
            </a:rPr>
            <a:t>Management </a:t>
          </a:r>
          <a:r>
            <a:rPr lang="en-US" sz="1100" baseline="0"/>
            <a:t>and GA.</a:t>
          </a:r>
        </a:p>
        <a:p>
          <a:endParaRPr lang="en-US" sz="1100" baseline="0"/>
        </a:p>
        <a:p>
          <a:r>
            <a:rPr lang="en-US" sz="1100" baseline="0"/>
            <a:t>GWA data from T:\Project Information\2012\12120114 - McCammon (LTM Program)\Proposal\2016\LTM budget FY2016 Proposal - Revised</a:t>
          </a:r>
        </a:p>
        <a:p>
          <a:endParaRPr lang="en-US" sz="1100" baseline="0"/>
        </a:p>
        <a:p>
          <a:r>
            <a:rPr lang="en-US" sz="1100" baseline="0"/>
            <a:t>HRM data from T:\Project Information\2012\12120111 - Pegau (Herring Program)\Proposal\2016\9-1-15 Program Budget and Reporting Form HRM</a:t>
          </a:r>
        </a:p>
        <a:p>
          <a:endParaRPr lang="en-US" sz="1100" baseline="0"/>
        </a:p>
        <a:p>
          <a:r>
            <a:rPr lang="en-US" sz="1100"/>
            <a:t>PIGU Data</a:t>
          </a:r>
          <a:r>
            <a:rPr lang="en-US" sz="1100" baseline="0"/>
            <a:t> from T:\Project Information\2011\11100853 - Irons (PIGU Restoration)\Proposal\2016\EVOS Budget Pigu project Rev. 11-03-15</a:t>
          </a:r>
        </a:p>
        <a:p>
          <a:endParaRPr lang="en-US" sz="1100" baseline="0"/>
        </a:p>
        <a:p>
          <a:r>
            <a:rPr lang="en-US" sz="1100" baseline="0"/>
            <a:t>EVOSTC Admin= EVOSTC support cost + EVOSTC indirect + GA</a:t>
          </a:r>
        </a:p>
        <a:p>
          <a:r>
            <a:rPr lang="en-US" sz="1100" baseline="0"/>
            <a:t>3rd Party &amp; Non-profit project Admin = PWSSC management+ 3rd party indirect</a:t>
          </a:r>
          <a:endParaRPr lang="en-US" sz="1100"/>
        </a:p>
      </xdr:txBody>
    </xdr:sp>
    <xdr:clientData/>
  </xdr:twoCellAnchor>
  <xdr:twoCellAnchor>
    <xdr:from>
      <xdr:col>10</xdr:col>
      <xdr:colOff>180974</xdr:colOff>
      <xdr:row>41</xdr:row>
      <xdr:rowOff>133350</xdr:rowOff>
    </xdr:from>
    <xdr:to>
      <xdr:col>17</xdr:col>
      <xdr:colOff>923924</xdr:colOff>
      <xdr:row>68</xdr:row>
      <xdr:rowOff>95250</xdr:rowOff>
    </xdr:to>
    <xdr:sp macro="" textlink="">
      <xdr:nvSpPr>
        <xdr:cNvPr id="8" name="TextBox 7">
          <a:extLst>
            <a:ext uri="{FF2B5EF4-FFF2-40B4-BE49-F238E27FC236}">
              <a16:creationId xmlns:a16="http://schemas.microsoft.com/office/drawing/2014/main" xmlns="" id="{00000000-0008-0000-0200-000005000000}"/>
            </a:ext>
          </a:extLst>
        </xdr:cNvPr>
        <xdr:cNvSpPr txBox="1"/>
      </xdr:nvSpPr>
      <xdr:spPr>
        <a:xfrm>
          <a:off x="12211049" y="13925550"/>
          <a:ext cx="11668125" cy="510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*EVOSTC</a:t>
          </a:r>
          <a:r>
            <a:rPr lang="en-US" sz="1100" baseline="0"/>
            <a:t> support cost is calculated by dividing the total F17 EVOSTC annual budget dedicated to Science support with GA (without indirect)  from cell K140 (worksheet 3) by 23 total projects (13 GWA, 7 HRM, 1 DM, 1 LO, 1 PIGU) to get EVOSTC support cost per project. Then for  GWA, multiply by 13 projects, for HRM multiply by 7 projects. </a:t>
          </a:r>
          <a:r>
            <a:rPr lang="en-US" sz="1100" baseline="0">
              <a:solidFill>
                <a:schemeClr val="dk1"/>
              </a:solidFill>
              <a:effectLst/>
              <a:latin typeface="+mn-lt"/>
              <a:ea typeface="+mn-ea"/>
              <a:cs typeface="+mn-cs"/>
            </a:rPr>
            <a:t>EVOSTC indirect cost is the same as admin cost except using the total FY17 EVOSTC annual budget indirect in cell K141 (worksheet 3).</a:t>
          </a:r>
          <a:endParaRPr lang="en-US" sz="1100" baseline="0"/>
        </a:p>
        <a:p>
          <a:endParaRPr lang="en-US" sz="1100" baseline="0"/>
        </a:p>
        <a:p>
          <a:r>
            <a:rPr lang="en-US" sz="1100" baseline="0"/>
            <a:t>**PWSSC Management for  GWA program is the cost without GA for Program Mangement II-Hoffman (project 17120114-B).</a:t>
          </a:r>
        </a:p>
        <a:p>
          <a:r>
            <a:rPr lang="en-US" sz="1100" baseline="0"/>
            <a:t>PWSSC </a:t>
          </a:r>
          <a:r>
            <a:rPr lang="en-US" sz="1100" baseline="0">
              <a:solidFill>
                <a:schemeClr val="dk1"/>
              </a:solidFill>
              <a:effectLst/>
              <a:latin typeface="+mn-lt"/>
              <a:ea typeface="+mn-ea"/>
              <a:cs typeface="+mn-cs"/>
            </a:rPr>
            <a:t>Management </a:t>
          </a:r>
          <a:r>
            <a:rPr lang="en-US" sz="1100" baseline="0"/>
            <a:t>for HRM program is the cost without GA for Program Coordination-Pegau(project 17120111-A).</a:t>
          </a:r>
        </a:p>
        <a:p>
          <a:endParaRPr lang="en-US" sz="1100" baseline="0"/>
        </a:p>
        <a:p>
          <a:r>
            <a:rPr lang="en-US" sz="1100" baseline="0">
              <a:solidFill>
                <a:schemeClr val="dk1"/>
              </a:solidFill>
              <a:effectLst/>
              <a:latin typeface="+mn-lt"/>
              <a:ea typeface="+mn-ea"/>
              <a:cs typeface="+mn-cs"/>
            </a:rPr>
            <a:t>***Project Cost is project amount from workplan budget without 3rd party Indirect,  PWSSC Management and GA. </a:t>
          </a:r>
        </a:p>
        <a:p>
          <a:endParaRPr lang="en-US">
            <a:effectLst/>
          </a:endParaRPr>
        </a:p>
        <a:p>
          <a:r>
            <a:rPr lang="en-US" sz="1100" baseline="0">
              <a:solidFill>
                <a:schemeClr val="dk1"/>
              </a:solidFill>
              <a:effectLst/>
              <a:latin typeface="+mn-lt"/>
              <a:ea typeface="+mn-ea"/>
              <a:cs typeface="+mn-cs"/>
            </a:rPr>
            <a:t>**** Total Project cost includes Project, 3rd party Indirect, EVOSTC Management , PWSSC Management and GA.</a:t>
          </a:r>
          <a:endParaRPr lang="en-US">
            <a:effectLst/>
          </a:endParaRPr>
        </a:p>
        <a:p>
          <a:endParaRPr lang="en-US" sz="1100" baseline="0"/>
        </a:p>
        <a:p>
          <a:r>
            <a:rPr lang="en-US" sz="1100" baseline="0"/>
            <a:t>GWA data from T:\Project Information\2017\17120114 - LTM Program (Lindeberg)\Proposal\2017\17120114_GWA_FY17-21_ProgramBudgetWorkbook_5YrProposal_August_24</a:t>
          </a:r>
        </a:p>
        <a:p>
          <a:endParaRPr lang="en-US" sz="1100" baseline="0"/>
        </a:p>
        <a:p>
          <a:r>
            <a:rPr lang="en-US" sz="1100" baseline="0"/>
            <a:t>HRM data from T:\Project Information\2017\17120111 - Herring Program (Pegau)\Proposal\2017\HRM Program Budgets revised clean to print llk 08.24.16</a:t>
          </a:r>
        </a:p>
        <a:p>
          <a:endParaRPr lang="en-US" sz="1100" baseline="0"/>
        </a:p>
        <a:p>
          <a:r>
            <a:rPr lang="en-US" sz="1100"/>
            <a:t>Data Management</a:t>
          </a:r>
          <a:r>
            <a:rPr lang="en-US" sz="1100" baseline="0"/>
            <a:t> data from T:\Project Information\2017\17170113 - Data Management Program (Janzen)\Proposal\2017\FINAL AUG2016_ASLC_AOOS_Axiom EVOS DM Budget clean to print llk</a:t>
          </a:r>
        </a:p>
        <a:p>
          <a:endParaRPr lang="en-US" sz="1100"/>
        </a:p>
        <a:p>
          <a:r>
            <a:rPr lang="en-US" sz="1100"/>
            <a:t>Lingering</a:t>
          </a:r>
          <a:r>
            <a:rPr lang="en-US" sz="1100" baseline="0"/>
            <a:t> Oil Data from T:\Project Information\2017\17170115 - Lingering Oil (Whitehead)\Proposal\2017\Appendix F - Program Project Proposal and Reporting Form-REV 3.9.16 - CH_AW</a:t>
          </a:r>
        </a:p>
        <a:p>
          <a:endParaRPr lang="en-US" sz="1100" baseline="0"/>
        </a:p>
        <a:p>
          <a:r>
            <a:rPr lang="en-US" sz="1100"/>
            <a:t>PIGU Data</a:t>
          </a:r>
          <a:r>
            <a:rPr lang="en-US" sz="1100" baseline="0"/>
            <a:t> from T:\Project Information\2011\11100853 - Irons (PIGU Restoration)\Proposal\2017\Irons budget FY17 and FY18 08.23.16</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EVOSTC Admin= EVOSTC support cost + EVOSTC indirect + GA</a:t>
          </a:r>
          <a:endParaRPr lang="en-US">
            <a:effectLst/>
          </a:endParaRPr>
        </a:p>
        <a:p>
          <a:r>
            <a:rPr lang="en-US" sz="1100" baseline="0">
              <a:solidFill>
                <a:schemeClr val="dk1"/>
              </a:solidFill>
              <a:effectLst/>
              <a:latin typeface="+mn-lt"/>
              <a:ea typeface="+mn-ea"/>
              <a:cs typeface="+mn-cs"/>
            </a:rPr>
            <a:t>3rd Party &amp; Non-profit project Admin = PWSSC management+ 3rd party indirect</a:t>
          </a:r>
          <a:endParaRPr lang="en-US">
            <a:effectLst/>
          </a:endParaRPr>
        </a:p>
      </xdr:txBody>
    </xdr:sp>
    <xdr:clientData/>
  </xdr:twoCellAnchor>
  <xdr:twoCellAnchor>
    <xdr:from>
      <xdr:col>20</xdr:col>
      <xdr:colOff>38100</xdr:colOff>
      <xdr:row>41</xdr:row>
      <xdr:rowOff>57150</xdr:rowOff>
    </xdr:from>
    <xdr:to>
      <xdr:col>27</xdr:col>
      <xdr:colOff>923925</xdr:colOff>
      <xdr:row>69</xdr:row>
      <xdr:rowOff>57149</xdr:rowOff>
    </xdr:to>
    <xdr:sp macro="" textlink="">
      <xdr:nvSpPr>
        <xdr:cNvPr id="10" name="TextBox 9">
          <a:extLst>
            <a:ext uri="{FF2B5EF4-FFF2-40B4-BE49-F238E27FC236}">
              <a16:creationId xmlns:a16="http://schemas.microsoft.com/office/drawing/2014/main" xmlns="" id="{00000000-0008-0000-0300-000004000000}"/>
            </a:ext>
          </a:extLst>
        </xdr:cNvPr>
        <xdr:cNvSpPr txBox="1"/>
      </xdr:nvSpPr>
      <xdr:spPr>
        <a:xfrm>
          <a:off x="24707850" y="14258925"/>
          <a:ext cx="11468100" cy="5333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*EVOSTC</a:t>
          </a:r>
          <a:r>
            <a:rPr lang="en-US" sz="1100" baseline="0"/>
            <a:t> support cost is calculated by dividing the total F18 EVOSTC annual budget dedicated to Science support with GA (without indirect) from cell K143 (worksheet 4) by 23 total projects (13 GWA, 7 HRM, 1 DM, 1 LO, 1 PIGU) to get EVOSTC admin cost per project. Then for  GWA, multiply by 13 projects, for HRM multiply by 7 projects. </a:t>
          </a:r>
          <a:r>
            <a:rPr lang="en-US" sz="1100" baseline="0">
              <a:solidFill>
                <a:schemeClr val="dk1"/>
              </a:solidFill>
              <a:effectLst/>
              <a:latin typeface="+mn-lt"/>
              <a:ea typeface="+mn-ea"/>
              <a:cs typeface="+mn-cs"/>
            </a:rPr>
            <a:t>EVOSTC indirect cost is the same as admin cost except using the total FY18 EVOSTC annual budget indirect in cell K144 (worksheet 4).</a:t>
          </a:r>
          <a:endParaRPr lang="en-US" sz="1100" baseline="0"/>
        </a:p>
        <a:p>
          <a:endParaRPr lang="en-US" sz="1100" baseline="0"/>
        </a:p>
        <a:p>
          <a:r>
            <a:rPr lang="en-US" sz="1100" baseline="0"/>
            <a:t>**PWSSC Management for  GWA program is the cost without GA for Program Mangement II-Hoffman (project 18120114-B).</a:t>
          </a:r>
        </a:p>
        <a:p>
          <a:r>
            <a:rPr lang="en-US" sz="1100" baseline="0"/>
            <a:t>PWSSC </a:t>
          </a:r>
          <a:r>
            <a:rPr lang="en-US" sz="1100" baseline="0">
              <a:solidFill>
                <a:schemeClr val="dk1"/>
              </a:solidFill>
              <a:effectLst/>
              <a:latin typeface="+mn-lt"/>
              <a:ea typeface="+mn-ea"/>
              <a:cs typeface="+mn-cs"/>
            </a:rPr>
            <a:t>Management </a:t>
          </a:r>
          <a:r>
            <a:rPr lang="en-US" sz="1100" baseline="0"/>
            <a:t>for HRM program is the cost without GA for Program Coordination-Pegua (project 18120111-A), also without post-doc cost ($27.8K - 161.5K(postdoc) = $86.3K for FY18).</a:t>
          </a:r>
        </a:p>
        <a:p>
          <a:endParaRPr lang="en-US" sz="1100" baseline="0"/>
        </a:p>
        <a:p>
          <a:r>
            <a:rPr lang="en-US" sz="1100" baseline="0">
              <a:solidFill>
                <a:schemeClr val="dk1"/>
              </a:solidFill>
              <a:effectLst/>
              <a:latin typeface="+mn-lt"/>
              <a:ea typeface="+mn-ea"/>
              <a:cs typeface="+mn-cs"/>
            </a:rPr>
            <a:t>***Project Cost is project amount from workplan budget without 3rd party Indirect,  PWSSC Management and GA. </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Total Project cost includes Project, 3rd party Indirect, EVOSTC Management , PWSSC Management and GA.</a:t>
          </a:r>
          <a:endParaRPr lang="en-US">
            <a:effectLst/>
          </a:endParaRPr>
        </a:p>
        <a:p>
          <a:endParaRPr lang="en-US" sz="1100" baseline="0"/>
        </a:p>
        <a:p>
          <a:r>
            <a:rPr lang="en-US" sz="1100" baseline="0"/>
            <a:t>GWA data from T:\Project Information\2017\17120114 - LTM Program (Lindeberg)\Proposal\2018\18120114-GWA_Locked_ProgramBudgetWorkbook_FY18-Workplan_August_23</a:t>
          </a:r>
        </a:p>
        <a:p>
          <a:endParaRPr lang="en-US" sz="1100" baseline="0"/>
        </a:p>
        <a:p>
          <a:r>
            <a:rPr lang="en-US" sz="1100" baseline="0"/>
            <a:t>HRM data from T:\Project Information\2017\17120111 - Herring Program (Pegau)\Proposal\2018\HRM Program Dugets- incl PostDoc and scle revised 05.02.18llk</a:t>
          </a:r>
        </a:p>
        <a:p>
          <a:endParaRPr lang="en-US" sz="1100" baseline="0"/>
        </a:p>
        <a:p>
          <a:r>
            <a:rPr lang="en-US" sz="1100"/>
            <a:t>Data Management</a:t>
          </a:r>
          <a:r>
            <a:rPr lang="en-US" sz="1100" baseline="0"/>
            <a:t> data from T:\Project Information\2017\17170113 - Data Management Program (Janzen)\Proposal\2018\AOOS Appendix F - Program Project Proposal and Reporting Form-REV 08 14 17 v2 clean to print llk 08.22.17</a:t>
          </a:r>
        </a:p>
        <a:p>
          <a:endParaRPr lang="en-US" sz="1100"/>
        </a:p>
        <a:p>
          <a:r>
            <a:rPr lang="en-US" sz="1100"/>
            <a:t>Lingering</a:t>
          </a:r>
          <a:r>
            <a:rPr lang="en-US" sz="1100" baseline="0"/>
            <a:t> Oil Data from T:\Project Information\2017\17170115 - Lingering Oil (Whitehead)\Proposal\2018\Project 18170115 Appendix G - LO &amp; Publication Proposal and Reporting Form REV 7.26.17 clean to print llk 08.23.17</a:t>
          </a:r>
        </a:p>
        <a:p>
          <a:endParaRPr lang="en-US" sz="1100" baseline="0"/>
        </a:p>
        <a:p>
          <a:r>
            <a:rPr lang="en-US" sz="1100"/>
            <a:t>PIGU Data</a:t>
          </a:r>
          <a:r>
            <a:rPr lang="en-US" sz="1100" baseline="0"/>
            <a:t> from T:\Project Information\2011\11100853 - Irons (PIGU Restoration)\Proposal\2018\ Irons budget FY18 16 AUG 2017 clean to print llk 08.16.17</a:t>
          </a:r>
        </a:p>
        <a:p>
          <a:endParaRPr lang="en-US" sz="1100" baseline="0"/>
        </a:p>
        <a:p>
          <a:r>
            <a:rPr lang="en-US" sz="1100" baseline="0">
              <a:solidFill>
                <a:schemeClr val="dk1"/>
              </a:solidFill>
              <a:effectLst/>
              <a:latin typeface="+mn-lt"/>
              <a:ea typeface="+mn-ea"/>
              <a:cs typeface="+mn-cs"/>
            </a:rPr>
            <a:t>EVOSTC Admin= EVOSTC support cost + EVOSTC indirect + GA</a:t>
          </a:r>
          <a:endParaRPr lang="en-US">
            <a:effectLst/>
          </a:endParaRPr>
        </a:p>
        <a:p>
          <a:r>
            <a:rPr lang="en-US" sz="1100" baseline="0">
              <a:solidFill>
                <a:schemeClr val="dk1"/>
              </a:solidFill>
              <a:effectLst/>
              <a:latin typeface="+mn-lt"/>
              <a:ea typeface="+mn-ea"/>
              <a:cs typeface="+mn-cs"/>
            </a:rPr>
            <a:t>3rd Party &amp; Non-profit project Admin = PWSSC management+ 3rd party indirect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1181100</xdr:colOff>
      <xdr:row>43</xdr:row>
      <xdr:rowOff>95250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4000500"/>
          <a:ext cx="902017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*EVOSTC</a:t>
          </a:r>
          <a:r>
            <a:rPr lang="en-US" sz="1100" baseline="0"/>
            <a:t> support cost for each project is calculated by dividing the total FY18 EVOSTC annual budget dedicated to Science support with GA (without indirect) from cell K143 (worksheet 4) by 23 total projects to get EVOSTC support cost per project. </a:t>
          </a:r>
          <a:r>
            <a:rPr lang="en-US" sz="1100" baseline="0">
              <a:solidFill>
                <a:schemeClr val="dk1"/>
              </a:solidFill>
              <a:effectLst/>
              <a:latin typeface="+mn-lt"/>
              <a:ea typeface="+mn-ea"/>
              <a:cs typeface="+mn-cs"/>
            </a:rPr>
            <a:t>EVOSTC indirect cost is the same as admin cost except using the total FY18 EVOSTC annual budget indirect in cell K144 (worksheet 4).</a:t>
          </a:r>
          <a:endParaRPr lang="en-US" sz="1100" baseline="0"/>
        </a:p>
        <a:p>
          <a:endParaRPr lang="en-US" sz="1100" baseline="0"/>
        </a:p>
        <a:p>
          <a:r>
            <a:rPr lang="en-US" sz="1100" baseline="0"/>
            <a:t>**PWSSC Management for  GWA program is the cost without GA for Program Mangement II-Hoffman (project 18120114-B).</a:t>
          </a:r>
        </a:p>
        <a:p>
          <a:r>
            <a:rPr lang="en-US" sz="1100" baseline="0"/>
            <a:t>PWSSC </a:t>
          </a:r>
          <a:r>
            <a:rPr lang="en-US" sz="1100" baseline="0">
              <a:solidFill>
                <a:schemeClr val="dk1"/>
              </a:solidFill>
              <a:effectLst/>
              <a:latin typeface="+mn-lt"/>
              <a:ea typeface="+mn-ea"/>
              <a:cs typeface="+mn-cs"/>
            </a:rPr>
            <a:t>Management </a:t>
          </a:r>
          <a:r>
            <a:rPr lang="en-US" sz="1100" baseline="0"/>
            <a:t>for HRM program is the cost without GA for Program Coordination-Pegau (project 18120111-A), also without post-doc cost ($27.8K - 161.5K(postdoc) = $86.3K for FY18).</a:t>
          </a:r>
        </a:p>
        <a:p>
          <a:endParaRPr lang="en-US" sz="1100" baseline="0"/>
        </a:p>
        <a:p>
          <a:r>
            <a:rPr lang="en-US" sz="1100" baseline="0">
              <a:solidFill>
                <a:schemeClr val="dk1"/>
              </a:solidFill>
              <a:effectLst/>
              <a:latin typeface="+mn-lt"/>
              <a:ea typeface="+mn-ea"/>
              <a:cs typeface="+mn-cs"/>
            </a:rPr>
            <a:t>***Project Cost is project cost from workplan budget  without 3rd Party Indirect, PWSSC Management and GA.</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 Total Project cost includes Project, 3rd Party Indirect, EVOSTC Management , EVOSTC Indirect, PWSSC Management and GA.</a:t>
          </a:r>
          <a:endParaRPr lang="en-US">
            <a:effectLst/>
          </a:endParaRPr>
        </a:p>
        <a:p>
          <a:endParaRPr lang="en-US" sz="1100" baseline="0"/>
        </a:p>
        <a:p>
          <a:r>
            <a:rPr lang="en-US" sz="1100" baseline="0"/>
            <a:t>GWA data from T:\Project Information\2017\17120114 - LTM Program (Lindeberg)\Proposal\2018\18120114-GWA_Locked_ProgramBudgetWorkbook_FY18-Workplan_August_23</a:t>
          </a:r>
        </a:p>
        <a:p>
          <a:endParaRPr lang="en-US" sz="1100" baseline="0"/>
        </a:p>
        <a:p>
          <a:r>
            <a:rPr lang="en-US" sz="1100" baseline="0"/>
            <a:t>HRM data from T:\Project Information\2017\17120111 - Herring Program (Pegau)\Proposal\2018\HRM Program Dugets- incl PostDoc and scle revised 05.02.18llk</a:t>
          </a:r>
        </a:p>
        <a:p>
          <a:endParaRPr lang="en-US" sz="1100" baseline="0"/>
        </a:p>
        <a:p>
          <a:r>
            <a:rPr lang="en-US" sz="1100"/>
            <a:t>PIGU Data</a:t>
          </a:r>
          <a:r>
            <a:rPr lang="en-US" sz="1100" baseline="0"/>
            <a:t> from T:\Project Information\2011\11100853 - Irons (PIGU Restoration)\Proposal\2018\ Irons budget FY18 16 AUG 2017 clean to print llk 08.16.17</a:t>
          </a:r>
        </a:p>
        <a:p>
          <a:endParaRPr lang="en-US" sz="1100" baseline="0"/>
        </a:p>
        <a:p>
          <a:r>
            <a:rPr lang="en-US" sz="1100" baseline="0">
              <a:solidFill>
                <a:schemeClr val="dk1"/>
              </a:solidFill>
              <a:effectLst/>
              <a:latin typeface="+mn-lt"/>
              <a:ea typeface="+mn-ea"/>
              <a:cs typeface="+mn-cs"/>
            </a:rPr>
            <a:t>EVOSTC Admin= EVOSTC support cost + EVOSTC indirect + GA</a:t>
          </a:r>
          <a:endParaRPr lang="en-US">
            <a:effectLst/>
          </a:endParaRPr>
        </a:p>
        <a:p>
          <a:r>
            <a:rPr lang="en-US" sz="1100" baseline="0">
              <a:solidFill>
                <a:schemeClr val="dk1"/>
              </a:solidFill>
              <a:effectLst/>
              <a:latin typeface="+mn-lt"/>
              <a:ea typeface="+mn-ea"/>
              <a:cs typeface="+mn-cs"/>
            </a:rPr>
            <a:t>3rd Party &amp; Non-profit project Admin = PWSSC management+ 3rd party indirect</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abSelected="1" workbookViewId="0">
      <selection activeCell="B8" sqref="B8"/>
    </sheetView>
  </sheetViews>
  <sheetFormatPr defaultRowHeight="15" x14ac:dyDescent="0.25"/>
  <cols>
    <col min="1" max="1" width="32.5703125" customWidth="1"/>
    <col min="2" max="2" width="180.5703125" style="179" customWidth="1"/>
  </cols>
  <sheetData>
    <row r="1" spans="1:2" x14ac:dyDescent="0.25">
      <c r="A1" s="1" t="s">
        <v>219</v>
      </c>
      <c r="B1" s="266" t="s">
        <v>263</v>
      </c>
    </row>
    <row r="2" spans="1:2" x14ac:dyDescent="0.25">
      <c r="A2" t="s">
        <v>257</v>
      </c>
      <c r="B2" s="179" t="s">
        <v>290</v>
      </c>
    </row>
    <row r="3" spans="1:2" ht="30" x14ac:dyDescent="0.25">
      <c r="A3" t="s">
        <v>258</v>
      </c>
      <c r="B3" s="179" t="s">
        <v>238</v>
      </c>
    </row>
    <row r="4" spans="1:2" ht="30" x14ac:dyDescent="0.25">
      <c r="A4" t="s">
        <v>259</v>
      </c>
      <c r="B4" s="179" t="s">
        <v>239</v>
      </c>
    </row>
    <row r="5" spans="1:2" ht="30" x14ac:dyDescent="0.25">
      <c r="A5" t="s">
        <v>260</v>
      </c>
      <c r="B5" s="179" t="s">
        <v>240</v>
      </c>
    </row>
    <row r="6" spans="1:2" x14ac:dyDescent="0.25">
      <c r="A6" t="s">
        <v>264</v>
      </c>
      <c r="B6" s="179" t="s">
        <v>265</v>
      </c>
    </row>
    <row r="7" spans="1:2" x14ac:dyDescent="0.25">
      <c r="A7" t="s">
        <v>220</v>
      </c>
      <c r="B7" s="179" t="s">
        <v>221</v>
      </c>
    </row>
    <row r="8" spans="1:2" ht="30" x14ac:dyDescent="0.25">
      <c r="A8" t="s">
        <v>266</v>
      </c>
      <c r="B8" s="179" t="s">
        <v>262</v>
      </c>
    </row>
    <row r="9" spans="1:2" x14ac:dyDescent="0.25">
      <c r="A9" t="s">
        <v>267</v>
      </c>
      <c r="B9" s="179" t="s">
        <v>261</v>
      </c>
    </row>
  </sheetData>
  <sheetProtection password="D297" sheet="1" objects="1" scenarios="1"/>
  <pageMargins left="0.7" right="0.7" top="0.75" bottom="0.75" header="0.3" footer="0.3"/>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activeCell="A40" sqref="A40"/>
    </sheetView>
  </sheetViews>
  <sheetFormatPr defaultRowHeight="15" x14ac:dyDescent="0.25"/>
  <cols>
    <col min="1" max="1" width="82.28515625" bestFit="1" customWidth="1"/>
    <col min="2" max="4" width="15.28515625" bestFit="1" customWidth="1"/>
    <col min="5" max="5" width="26.85546875" bestFit="1" customWidth="1"/>
    <col min="7" max="9" width="9.28515625" bestFit="1" customWidth="1"/>
    <col min="11" max="11" width="20" customWidth="1"/>
  </cols>
  <sheetData>
    <row r="1" spans="1:11" x14ac:dyDescent="0.25">
      <c r="A1" t="s">
        <v>223</v>
      </c>
      <c r="B1">
        <v>2016</v>
      </c>
      <c r="C1">
        <v>2017</v>
      </c>
      <c r="D1">
        <v>2018</v>
      </c>
      <c r="E1" t="s">
        <v>229</v>
      </c>
      <c r="G1" s="304">
        <v>2016</v>
      </c>
      <c r="H1" s="305">
        <v>2017</v>
      </c>
      <c r="I1" s="306">
        <v>2018</v>
      </c>
      <c r="K1" t="s">
        <v>227</v>
      </c>
    </row>
    <row r="2" spans="1:11" x14ac:dyDescent="0.25">
      <c r="A2" t="s">
        <v>287</v>
      </c>
      <c r="B2" s="388">
        <f>'6. FY16-18 Habitat Budget'!L31+'5. FY16-18 Science Budget'!E12+'5. FY16-18 Science Budget'!F12</f>
        <v>1183097</v>
      </c>
      <c r="C2" s="388">
        <f>SUM('6. FY16-18 Habitat Budget'!L32)+SUM('5. FY16-18 Science Budget'!O14:P14)</f>
        <v>1061444.3999999999</v>
      </c>
      <c r="D2" s="388">
        <f>SUM('6. FY16-18 Habitat Budget'!L33)+SUM('5. FY16-18 Science Budget'!Y14:Z14)</f>
        <v>1123353</v>
      </c>
      <c r="E2" s="18">
        <v>1123353</v>
      </c>
      <c r="F2" s="18"/>
      <c r="G2" s="366">
        <f>B2/$B$5</f>
        <v>6.7117612123793094E-2</v>
      </c>
      <c r="H2" s="318">
        <f>C2/$C$5</f>
        <v>3.4258946908602324E-2</v>
      </c>
      <c r="I2" s="319">
        <f>D2/$D$5</f>
        <v>4.5397165148930545E-2</v>
      </c>
      <c r="K2" s="267">
        <f>E2/$E$5</f>
        <v>3.5613855416677734E-2</v>
      </c>
    </row>
    <row r="3" spans="1:11" x14ac:dyDescent="0.25">
      <c r="A3" t="s">
        <v>288</v>
      </c>
      <c r="B3" s="389">
        <f>SUM('6. FY16-18 Habitat Budget'!J31:K31)+SUM('5. FY16-18 Science Budget'!B12:D12)</f>
        <v>1907038.5697000001</v>
      </c>
      <c r="C3" s="389">
        <f>SUM('5. FY16-18 Science Budget'!L14:N14)+SUM('6. FY16-18 Habitat Budget'!J32:K32)</f>
        <v>2303033.6854000003</v>
      </c>
      <c r="D3" s="389">
        <f>SUM('5. FY16-18 Science Budget'!V14:X14)+SUM('6. FY16-18 Habitat Budget'!J33:K33)</f>
        <v>2712556.7686999999</v>
      </c>
      <c r="E3" s="18">
        <v>2712556.7686999999</v>
      </c>
      <c r="F3" s="18"/>
      <c r="G3" s="366">
        <f t="shared" ref="G3:G5" si="0">B3/$B$5</f>
        <v>0.1081871351429661</v>
      </c>
      <c r="H3" s="318">
        <f t="shared" ref="H3:H5" si="1">C3/$C$5</f>
        <v>7.4332210671459911E-2</v>
      </c>
      <c r="I3" s="319">
        <f t="shared" ref="I3:I5" si="2">D3/$D$5</f>
        <v>0.10962038433557687</v>
      </c>
      <c r="K3" s="267">
        <f t="shared" ref="K3:K5" si="3">E3/$E$5</f>
        <v>8.5996658726163855E-2</v>
      </c>
    </row>
    <row r="4" spans="1:11" x14ac:dyDescent="0.25">
      <c r="A4" t="s">
        <v>222</v>
      </c>
      <c r="B4" s="390">
        <f>'6. FY16-18 Habitat Budget'!M31+'5. FY16-18 Science Budget'!G12</f>
        <v>14537085.699999999</v>
      </c>
      <c r="C4" s="390">
        <f>'6. FY16-18 Habitat Budget'!M32+'5. FY16-18 Science Budget'!Q14</f>
        <v>27618505.800000001</v>
      </c>
      <c r="D4" s="390">
        <f>'6. FY16-18 Habitat Budget'!M33+'5. FY16-18 Science Budget'!AA14</f>
        <v>20909093.5</v>
      </c>
      <c r="E4" s="18">
        <f>E25</f>
        <v>27706673.5</v>
      </c>
      <c r="F4" s="18"/>
      <c r="G4" s="366">
        <f t="shared" si="0"/>
        <v>0.82469525273324085</v>
      </c>
      <c r="H4" s="318">
        <f t="shared" si="1"/>
        <v>0.89140884241993779</v>
      </c>
      <c r="I4" s="319">
        <f t="shared" si="2"/>
        <v>0.84498245051549259</v>
      </c>
      <c r="K4" s="267">
        <f t="shared" si="3"/>
        <v>0.87838948585715837</v>
      </c>
    </row>
    <row r="5" spans="1:11" ht="15.75" thickBot="1" x14ac:dyDescent="0.3">
      <c r="A5" t="s">
        <v>82</v>
      </c>
      <c r="B5" s="18">
        <f>SUM(B2:B4)</f>
        <v>17627221.269699998</v>
      </c>
      <c r="C5" s="18">
        <f t="shared" ref="C5:D5" si="4">SUM(C2:C4)</f>
        <v>30982983.885400001</v>
      </c>
      <c r="D5" s="18">
        <f t="shared" si="4"/>
        <v>24745003.2687</v>
      </c>
      <c r="E5" s="18">
        <f>SUM(E2:E4)</f>
        <v>31542583.2687</v>
      </c>
      <c r="F5" s="18"/>
      <c r="G5" s="367">
        <f t="shared" si="0"/>
        <v>1</v>
      </c>
      <c r="H5" s="321">
        <f t="shared" si="1"/>
        <v>1</v>
      </c>
      <c r="I5" s="322">
        <f t="shared" si="2"/>
        <v>1</v>
      </c>
      <c r="K5" s="267">
        <f t="shared" si="3"/>
        <v>1</v>
      </c>
    </row>
    <row r="6" spans="1:11" x14ac:dyDescent="0.25">
      <c r="B6" s="18"/>
      <c r="C6" s="18"/>
      <c r="D6" s="18"/>
      <c r="E6" s="18"/>
      <c r="F6" s="18"/>
      <c r="G6" s="18"/>
      <c r="H6" s="18"/>
      <c r="I6" s="18"/>
    </row>
    <row r="7" spans="1:11" x14ac:dyDescent="0.25">
      <c r="A7" t="s">
        <v>235</v>
      </c>
      <c r="B7" s="18"/>
      <c r="C7" s="18"/>
      <c r="D7" s="18"/>
      <c r="E7" s="18"/>
      <c r="F7" s="18"/>
      <c r="G7" s="18"/>
      <c r="H7" s="18"/>
      <c r="I7" s="18"/>
    </row>
    <row r="8" spans="1:11" x14ac:dyDescent="0.25">
      <c r="A8" t="s">
        <v>193</v>
      </c>
      <c r="B8" s="18">
        <v>303800</v>
      </c>
      <c r="C8" s="18">
        <v>303800</v>
      </c>
      <c r="D8" s="18">
        <v>242660</v>
      </c>
      <c r="E8" s="18">
        <v>242660</v>
      </c>
      <c r="F8" s="18"/>
      <c r="G8" s="18"/>
      <c r="H8" s="18"/>
      <c r="I8" s="18"/>
    </row>
    <row r="9" spans="1:11" x14ac:dyDescent="0.25">
      <c r="A9" t="s">
        <v>224</v>
      </c>
      <c r="B9" s="18">
        <v>574927</v>
      </c>
      <c r="C9" s="18">
        <v>381200</v>
      </c>
      <c r="D9" s="18">
        <v>340490</v>
      </c>
      <c r="E9" s="18">
        <v>340490</v>
      </c>
      <c r="F9" s="18"/>
      <c r="G9" s="18"/>
      <c r="H9" s="18"/>
      <c r="I9" s="18"/>
    </row>
    <row r="10" spans="1:11" x14ac:dyDescent="0.25">
      <c r="A10" t="s">
        <v>230</v>
      </c>
      <c r="B10" s="18">
        <v>304370</v>
      </c>
      <c r="C10" s="18">
        <v>376444</v>
      </c>
      <c r="D10" s="18">
        <v>540203</v>
      </c>
      <c r="E10" s="18">
        <v>540203</v>
      </c>
      <c r="F10" s="18"/>
      <c r="G10" s="18"/>
      <c r="H10" s="18"/>
      <c r="I10" s="18"/>
    </row>
    <row r="11" spans="1:11" x14ac:dyDescent="0.25">
      <c r="A11" t="s">
        <v>203</v>
      </c>
      <c r="B11" s="388">
        <f>SUM(B8:B10)</f>
        <v>1183097</v>
      </c>
      <c r="C11" s="388">
        <f t="shared" ref="C11:D11" si="5">SUM(C8:C10)</f>
        <v>1061444</v>
      </c>
      <c r="D11" s="388">
        <f t="shared" si="5"/>
        <v>1123353</v>
      </c>
      <c r="E11" s="18">
        <v>1123353</v>
      </c>
      <c r="F11" s="18"/>
      <c r="G11" s="18"/>
      <c r="H11" s="18"/>
      <c r="I11" s="18"/>
    </row>
    <row r="12" spans="1:11" x14ac:dyDescent="0.25">
      <c r="B12" s="18"/>
      <c r="C12" s="18"/>
      <c r="D12" s="18"/>
      <c r="E12" s="18"/>
      <c r="F12" s="18"/>
      <c r="G12" s="18"/>
      <c r="H12" s="18"/>
      <c r="I12" s="18"/>
    </row>
    <row r="13" spans="1:11" x14ac:dyDescent="0.25">
      <c r="A13" t="s">
        <v>231</v>
      </c>
      <c r="B13" s="18">
        <v>962365.81940000015</v>
      </c>
      <c r="C13" s="18">
        <v>1487633.3578000001</v>
      </c>
      <c r="D13" s="18">
        <v>1778286.1623999998</v>
      </c>
      <c r="E13" s="18">
        <v>1778286.1623999998</v>
      </c>
      <c r="F13" s="18"/>
      <c r="G13" s="18"/>
      <c r="H13" s="18"/>
      <c r="I13" s="18"/>
    </row>
    <row r="14" spans="1:11" x14ac:dyDescent="0.25">
      <c r="A14" t="s">
        <v>232</v>
      </c>
      <c r="B14" s="18">
        <v>148565.33229999998</v>
      </c>
      <c r="C14" s="18">
        <v>152039.19500000001</v>
      </c>
      <c r="D14" s="18">
        <v>142010.39929999999</v>
      </c>
      <c r="E14" s="18">
        <v>142010.39929999999</v>
      </c>
      <c r="F14" s="18"/>
      <c r="G14" s="18"/>
      <c r="H14" s="18"/>
      <c r="I14" s="18"/>
    </row>
    <row r="15" spans="1:11" ht="15.75" thickBot="1" x14ac:dyDescent="0.3">
      <c r="A15" t="s">
        <v>233</v>
      </c>
      <c r="B15" s="18">
        <v>432227</v>
      </c>
      <c r="C15" s="18">
        <v>293935</v>
      </c>
      <c r="D15" s="18">
        <v>343357</v>
      </c>
      <c r="E15" s="18">
        <v>343357</v>
      </c>
      <c r="F15" s="18"/>
      <c r="G15" s="18"/>
      <c r="H15" s="18"/>
      <c r="I15" s="18"/>
    </row>
    <row r="16" spans="1:11" ht="15.75" thickBot="1" x14ac:dyDescent="0.3">
      <c r="A16" s="307" t="s">
        <v>234</v>
      </c>
      <c r="B16" s="308">
        <v>34730</v>
      </c>
      <c r="C16" s="308">
        <v>35542</v>
      </c>
      <c r="D16" s="308">
        <v>33197</v>
      </c>
      <c r="E16" s="308">
        <v>33197</v>
      </c>
      <c r="F16" s="308"/>
      <c r="G16" s="309">
        <f>B16/B5</f>
        <v>1.9702481445387269E-3</v>
      </c>
      <c r="H16" s="309">
        <f t="shared" ref="H16:I16" si="6">C16/C5</f>
        <v>1.1471458053059999E-3</v>
      </c>
      <c r="I16" s="310">
        <f t="shared" si="6"/>
        <v>1.3415637750992318E-3</v>
      </c>
    </row>
    <row r="17" spans="1:11" x14ac:dyDescent="0.25">
      <c r="A17" t="s">
        <v>289</v>
      </c>
      <c r="B17" s="18">
        <v>329151</v>
      </c>
      <c r="C17" s="18">
        <v>333885</v>
      </c>
      <c r="D17" s="18">
        <v>415706</v>
      </c>
      <c r="E17" s="18">
        <v>415706</v>
      </c>
      <c r="F17" s="18"/>
      <c r="G17" s="18"/>
      <c r="H17" s="18"/>
      <c r="I17" s="18"/>
    </row>
    <row r="18" spans="1:11" x14ac:dyDescent="0.25">
      <c r="A18" t="s">
        <v>203</v>
      </c>
      <c r="B18" s="389">
        <f>SUM(B13:B17)</f>
        <v>1907039.1517</v>
      </c>
      <c r="C18" s="389">
        <f t="shared" ref="C18:D18" si="7">SUM(C13:C17)</f>
        <v>2303034.5528000002</v>
      </c>
      <c r="D18" s="389">
        <f t="shared" si="7"/>
        <v>2712556.5616999995</v>
      </c>
      <c r="E18" s="18">
        <v>2712556.5616999995</v>
      </c>
      <c r="F18" s="18"/>
      <c r="G18" s="18"/>
      <c r="H18" s="18"/>
      <c r="I18" s="18"/>
    </row>
    <row r="19" spans="1:11" x14ac:dyDescent="0.25">
      <c r="B19" s="18"/>
      <c r="C19" s="18"/>
      <c r="D19" s="18"/>
      <c r="E19" s="18"/>
      <c r="F19" s="18"/>
      <c r="G19" s="18"/>
      <c r="H19" s="18"/>
      <c r="I19" s="18"/>
    </row>
    <row r="20" spans="1:11" x14ac:dyDescent="0.25">
      <c r="A20" t="s">
        <v>196</v>
      </c>
      <c r="B20" s="18">
        <v>11758718</v>
      </c>
      <c r="C20" s="18">
        <v>24592639</v>
      </c>
      <c r="D20" s="18">
        <v>17170245</v>
      </c>
      <c r="E20" s="18">
        <v>17170245</v>
      </c>
      <c r="F20" s="18"/>
      <c r="G20" s="18"/>
      <c r="H20" s="18"/>
      <c r="I20" s="18"/>
    </row>
    <row r="21" spans="1:11" x14ac:dyDescent="0.25">
      <c r="A21" t="s">
        <v>225</v>
      </c>
      <c r="B21" s="18">
        <v>2778368</v>
      </c>
      <c r="C21" s="18">
        <v>3025867</v>
      </c>
      <c r="D21" s="18">
        <v>3738848.5</v>
      </c>
      <c r="E21" s="18">
        <v>3442739</v>
      </c>
      <c r="F21" s="18"/>
      <c r="G21" s="18"/>
      <c r="H21" s="18"/>
      <c r="I21" s="18"/>
    </row>
    <row r="22" spans="1:11" x14ac:dyDescent="0.25">
      <c r="A22" t="s">
        <v>203</v>
      </c>
      <c r="B22" s="390">
        <f>SUM(B20:B21)</f>
        <v>14537086</v>
      </c>
      <c r="C22" s="390">
        <f t="shared" ref="C22:D22" si="8">SUM(C20:C21)</f>
        <v>27618506</v>
      </c>
      <c r="D22" s="390">
        <f t="shared" si="8"/>
        <v>20909093.5</v>
      </c>
      <c r="E22" s="18">
        <v>20612984</v>
      </c>
      <c r="F22" s="18"/>
      <c r="G22" s="18"/>
      <c r="H22" s="18"/>
      <c r="I22" s="18"/>
    </row>
    <row r="24" spans="1:11" x14ac:dyDescent="0.25">
      <c r="A24" t="s">
        <v>226</v>
      </c>
      <c r="E24" s="18">
        <v>6797580</v>
      </c>
      <c r="K24" s="267">
        <f>E24/E25</f>
        <v>0.24534089233050657</v>
      </c>
    </row>
    <row r="25" spans="1:11" ht="15.75" thickBot="1" x14ac:dyDescent="0.3">
      <c r="A25" t="s">
        <v>228</v>
      </c>
      <c r="E25" s="265">
        <f>SUM(E24,D22)</f>
        <v>27706673.5</v>
      </c>
    </row>
    <row r="26" spans="1:11" x14ac:dyDescent="0.25">
      <c r="G26" s="221">
        <v>2016</v>
      </c>
      <c r="H26" s="380">
        <v>2017</v>
      </c>
      <c r="I26" s="381">
        <v>2018</v>
      </c>
    </row>
    <row r="27" spans="1:11" x14ac:dyDescent="0.25">
      <c r="A27" t="s">
        <v>285</v>
      </c>
      <c r="B27" s="265">
        <f>B4</f>
        <v>14537085.699999999</v>
      </c>
      <c r="C27" s="265">
        <f t="shared" ref="C27:D27" si="9">C4</f>
        <v>27618505.800000001</v>
      </c>
      <c r="D27" s="265">
        <f t="shared" si="9"/>
        <v>20909093.5</v>
      </c>
      <c r="G27" s="382">
        <f>B27/B$32</f>
        <v>0.82469522550418328</v>
      </c>
      <c r="H27" s="383">
        <f t="shared" ref="H27:I27" si="10">C27/C$32</f>
        <v>0.89140882897241158</v>
      </c>
      <c r="I27" s="384">
        <f t="shared" si="10"/>
        <v>0.84498245758404555</v>
      </c>
    </row>
    <row r="28" spans="1:11" x14ac:dyDescent="0.25">
      <c r="A28" t="s">
        <v>286</v>
      </c>
      <c r="B28" s="265">
        <f>B18-B17</f>
        <v>1577888.1517</v>
      </c>
      <c r="C28" s="265">
        <f t="shared" ref="C28:D28" si="11">C18-C17</f>
        <v>1969149.5528000002</v>
      </c>
      <c r="D28" s="265">
        <f t="shared" si="11"/>
        <v>2296850.5616999995</v>
      </c>
      <c r="G28" s="382">
        <f t="shared" ref="G28:G32" si="12">B28/B$32</f>
        <v>8.951428449559258E-2</v>
      </c>
      <c r="H28" s="383">
        <f t="shared" ref="H28:H32" si="13">C28/C$32</f>
        <v>6.3555838597647671E-2</v>
      </c>
      <c r="I28" s="384">
        <f t="shared" ref="I28:I32" si="14">D28/D$32</f>
        <v>9.2820783087921105E-2</v>
      </c>
    </row>
    <row r="29" spans="1:11" x14ac:dyDescent="0.25">
      <c r="A29" t="s">
        <v>284</v>
      </c>
      <c r="B29" s="265">
        <f>B17</f>
        <v>329151</v>
      </c>
      <c r="C29" s="265">
        <f t="shared" ref="C29:D29" si="15">C17</f>
        <v>333885</v>
      </c>
      <c r="D29" s="265">
        <f t="shared" si="15"/>
        <v>415706</v>
      </c>
      <c r="G29" s="382">
        <f t="shared" si="12"/>
        <v>1.8672880092460861E-2</v>
      </c>
      <c r="H29" s="383">
        <f t="shared" si="13"/>
        <v>1.0776398948470762E-2</v>
      </c>
      <c r="I29" s="384">
        <f t="shared" si="14"/>
        <v>1.679959379934062E-2</v>
      </c>
    </row>
    <row r="30" spans="1:11" x14ac:dyDescent="0.25">
      <c r="A30" t="s">
        <v>282</v>
      </c>
      <c r="B30" s="265">
        <f>SUM(B8:B9)</f>
        <v>878727</v>
      </c>
      <c r="C30" s="265">
        <f t="shared" ref="C30:D30" si="16">SUM(C8:C9)</f>
        <v>685000</v>
      </c>
      <c r="D30" s="265">
        <f t="shared" si="16"/>
        <v>583150</v>
      </c>
      <c r="G30" s="382">
        <f t="shared" si="12"/>
        <v>4.9850566776366637E-2</v>
      </c>
      <c r="H30" s="383">
        <f t="shared" si="13"/>
        <v>2.2108909593729794E-2</v>
      </c>
      <c r="I30" s="384">
        <f t="shared" si="14"/>
        <v>2.3566374129999283E-2</v>
      </c>
    </row>
    <row r="31" spans="1:11" x14ac:dyDescent="0.25">
      <c r="A31" t="s">
        <v>283</v>
      </c>
      <c r="B31" s="265">
        <f>B10</f>
        <v>304370</v>
      </c>
      <c r="C31" s="265">
        <f t="shared" ref="C31:D31" si="17">C10</f>
        <v>376444</v>
      </c>
      <c r="D31" s="265">
        <f t="shared" si="17"/>
        <v>540203</v>
      </c>
      <c r="G31" s="382">
        <f t="shared" si="12"/>
        <v>1.726704313139657E-2</v>
      </c>
      <c r="H31" s="383">
        <f t="shared" si="13"/>
        <v>1.2150023887740172E-2</v>
      </c>
      <c r="I31" s="384">
        <f t="shared" si="14"/>
        <v>2.183079139869331E-2</v>
      </c>
    </row>
    <row r="32" spans="1:11" ht="15.75" thickBot="1" x14ac:dyDescent="0.3">
      <c r="A32" t="s">
        <v>82</v>
      </c>
      <c r="B32" s="265">
        <f>SUM(B27:B31)</f>
        <v>17627221.8517</v>
      </c>
      <c r="C32" s="265">
        <f t="shared" ref="C32:D32" si="18">SUM(C27:C31)</f>
        <v>30982984.3528</v>
      </c>
      <c r="D32" s="265">
        <f t="shared" si="18"/>
        <v>24745003.061700001</v>
      </c>
      <c r="G32" s="385">
        <f t="shared" si="12"/>
        <v>1</v>
      </c>
      <c r="H32" s="386">
        <f t="shared" si="13"/>
        <v>1</v>
      </c>
      <c r="I32" s="387">
        <f t="shared" si="14"/>
        <v>1</v>
      </c>
    </row>
    <row r="33" spans="2:2" x14ac:dyDescent="0.25">
      <c r="B33" s="265"/>
    </row>
    <row r="34" spans="2:2" x14ac:dyDescent="0.25">
      <c r="B34" s="265"/>
    </row>
    <row r="35" spans="2:2" x14ac:dyDescent="0.25">
      <c r="B35" s="265"/>
    </row>
  </sheetData>
  <sheetProtection password="D297" sheet="1" objects="1" scenarios="1"/>
  <pageMargins left="0.7" right="0.7"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96"/>
  <sheetViews>
    <sheetView zoomScale="90" zoomScaleNormal="90" zoomScaleSheetLayoutView="90" workbookViewId="0">
      <pane xSplit="1" ySplit="1" topLeftCell="B128" activePane="bottomRight" state="frozen"/>
      <selection pane="topRight" activeCell="B1" sqref="B1"/>
      <selection pane="bottomLeft" activeCell="A2" sqref="A2"/>
      <selection pane="bottomRight" activeCell="E17" sqref="E17"/>
    </sheetView>
  </sheetViews>
  <sheetFormatPr defaultRowHeight="15" x14ac:dyDescent="0.25"/>
  <cols>
    <col min="1" max="1" width="40.28515625" style="179" customWidth="1"/>
    <col min="2" max="2" width="12.5703125" style="18" bestFit="1" customWidth="1"/>
    <col min="3" max="3" width="12.5703125" style="18" customWidth="1"/>
    <col min="4" max="4" width="14.85546875" style="18" customWidth="1"/>
    <col min="5" max="5" width="16.140625" style="373" customWidth="1"/>
    <col min="6" max="6" width="10.42578125" style="29" customWidth="1"/>
    <col min="7" max="7" width="11.85546875" style="30" customWidth="1"/>
    <col min="8" max="8" width="13.28515625" style="30" customWidth="1"/>
    <col min="9" max="9" width="11" style="15" bestFit="1" customWidth="1"/>
    <col min="10" max="10" width="9" style="31" bestFit="1" customWidth="1"/>
    <col min="11" max="11" width="10" style="32" bestFit="1" customWidth="1"/>
    <col min="12" max="12" width="11" style="15" bestFit="1" customWidth="1"/>
    <col min="13" max="13" width="9.42578125" style="16" bestFit="1" customWidth="1"/>
    <col min="14" max="14" width="11.85546875" style="60" customWidth="1"/>
    <col min="15" max="15" width="13.42578125" style="15" customWidth="1"/>
    <col min="16" max="16" width="13.28515625" style="16" customWidth="1"/>
    <col min="17" max="17" width="13.42578125" style="32" customWidth="1"/>
    <col min="18" max="18" width="20" style="145" bestFit="1" customWidth="1"/>
    <col min="20" max="20" width="10" bestFit="1" customWidth="1"/>
  </cols>
  <sheetData>
    <row r="1" spans="1:20" s="156" customFormat="1" ht="90" x14ac:dyDescent="0.25">
      <c r="A1" s="162" t="s">
        <v>243</v>
      </c>
      <c r="B1" s="6" t="s">
        <v>113</v>
      </c>
      <c r="C1" s="155" t="s">
        <v>0</v>
      </c>
      <c r="D1" s="155" t="s">
        <v>114</v>
      </c>
      <c r="E1" s="6" t="s">
        <v>271</v>
      </c>
      <c r="F1" s="2" t="s">
        <v>2</v>
      </c>
      <c r="G1" s="2" t="s">
        <v>3</v>
      </c>
      <c r="H1" s="2" t="s">
        <v>249</v>
      </c>
      <c r="I1" s="3" t="s">
        <v>4</v>
      </c>
      <c r="J1" s="4" t="s">
        <v>5</v>
      </c>
      <c r="K1" s="5" t="s">
        <v>6</v>
      </c>
      <c r="L1" s="3" t="s">
        <v>83</v>
      </c>
      <c r="M1" s="6" t="s">
        <v>7</v>
      </c>
      <c r="N1" s="138" t="s">
        <v>8</v>
      </c>
      <c r="O1" s="3" t="s">
        <v>246</v>
      </c>
      <c r="P1" s="6" t="s">
        <v>274</v>
      </c>
      <c r="Q1" s="5" t="s">
        <v>248</v>
      </c>
      <c r="R1" s="157"/>
    </row>
    <row r="2" spans="1:20" s="11" customFormat="1" x14ac:dyDescent="0.25">
      <c r="A2" s="163" t="s">
        <v>9</v>
      </c>
      <c r="B2" s="103">
        <f>B3+B10+B13+B25+B31</f>
        <v>703378</v>
      </c>
      <c r="C2" s="103">
        <f>B2*0.09</f>
        <v>63304.02</v>
      </c>
      <c r="D2" s="103">
        <f>B2+C2</f>
        <v>766682.02</v>
      </c>
      <c r="E2" s="372"/>
      <c r="F2" s="9">
        <f>AVERAGE(F4:F8)</f>
        <v>0.18</v>
      </c>
      <c r="G2" s="10">
        <f>AVERAGE(G4:G8)</f>
        <v>0.77</v>
      </c>
      <c r="H2" s="10">
        <f>AVERAGE(H4:H8,H11,H14:H23,H26:H29,H31)</f>
        <v>4.7619047619047658E-2</v>
      </c>
      <c r="I2" s="104">
        <f t="shared" ref="I2:Q2" si="0">SUM(I3,I10,I13,I25,I31)</f>
        <v>122943.6</v>
      </c>
      <c r="J2" s="105">
        <f t="shared" si="0"/>
        <v>11064.923999999999</v>
      </c>
      <c r="K2" s="105">
        <f t="shared" si="0"/>
        <v>134008.524</v>
      </c>
      <c r="L2" s="104">
        <f t="shared" si="0"/>
        <v>546283.4</v>
      </c>
      <c r="M2" s="105">
        <f t="shared" si="0"/>
        <v>49165.506000000008</v>
      </c>
      <c r="N2" s="105">
        <f t="shared" si="0"/>
        <v>595448.90599999996</v>
      </c>
      <c r="O2" s="104">
        <f t="shared" si="0"/>
        <v>34151.000000000029</v>
      </c>
      <c r="P2" s="105">
        <f t="shared" si="0"/>
        <v>3073.5900000000024</v>
      </c>
      <c r="Q2" s="105">
        <f t="shared" si="0"/>
        <v>37224.590000000026</v>
      </c>
      <c r="R2" s="183"/>
      <c r="S2" s="210"/>
      <c r="T2" s="210"/>
    </row>
    <row r="3" spans="1:20" s="1" customFormat="1" x14ac:dyDescent="0.25">
      <c r="A3" s="164" t="s">
        <v>10</v>
      </c>
      <c r="B3" s="100">
        <f>SUM(B4:B8)</f>
        <v>532143</v>
      </c>
      <c r="C3" s="100">
        <f>SUM(C4:C8)</f>
        <v>47892.87</v>
      </c>
      <c r="D3" s="100">
        <f>SUM(D4:D8)</f>
        <v>580035.87</v>
      </c>
      <c r="E3" s="110"/>
      <c r="F3" s="14">
        <f>AVERAGE(F4:F8)</f>
        <v>0.18</v>
      </c>
      <c r="G3" s="14">
        <f>AVERAGE(G4:G8)</f>
        <v>0.77</v>
      </c>
      <c r="H3" s="14">
        <f>1-G3-F3</f>
        <v>4.9999999999999989E-2</v>
      </c>
      <c r="I3" s="101">
        <f>SUM(I4:I8)</f>
        <v>95785.74</v>
      </c>
      <c r="J3" s="123">
        <f t="shared" ref="J3:K3" si="1">SUM(J4:J8)</f>
        <v>8620.7165999999997</v>
      </c>
      <c r="K3" s="123">
        <f t="shared" si="1"/>
        <v>104406.4566</v>
      </c>
      <c r="L3" s="101">
        <f>SUM(L4:L8)</f>
        <v>409750.11</v>
      </c>
      <c r="M3" s="6">
        <f>SUM(M4:M8)</f>
        <v>36877.509900000005</v>
      </c>
      <c r="N3" s="123">
        <f t="shared" ref="N3" si="2">SUM(N4:N8)</f>
        <v>446627.61989999999</v>
      </c>
      <c r="O3" s="101">
        <f>SUM(O4:O8)</f>
        <v>26607.150000000023</v>
      </c>
      <c r="P3" s="6">
        <f>SUM(P4:P8)</f>
        <v>2394.6435000000024</v>
      </c>
      <c r="Q3" s="123">
        <f t="shared" ref="Q3" si="3">SUM(Q4:Q8)</f>
        <v>29001.793500000025</v>
      </c>
      <c r="R3" s="184"/>
    </row>
    <row r="4" spans="1:20" ht="30" x14ac:dyDescent="0.25">
      <c r="A4" s="165" t="s">
        <v>11</v>
      </c>
      <c r="B4" s="18">
        <v>183254</v>
      </c>
      <c r="C4" s="13">
        <f>0.09*B4</f>
        <v>16492.86</v>
      </c>
      <c r="D4" s="13">
        <f>SUM(B4:C4)</f>
        <v>199746.86</v>
      </c>
      <c r="E4" s="27" t="s">
        <v>272</v>
      </c>
      <c r="F4" s="19">
        <v>0.18</v>
      </c>
      <c r="G4" s="20">
        <v>0.77</v>
      </c>
      <c r="H4" s="21">
        <f>1-F4-G4</f>
        <v>5.0000000000000044E-2</v>
      </c>
      <c r="I4" s="22">
        <f t="shared" ref="I4:I8" si="4">F4*B4</f>
        <v>32985.72</v>
      </c>
      <c r="J4" s="130">
        <f t="shared" ref="J4:J8" si="5">F4*C4</f>
        <v>2968.7148000000002</v>
      </c>
      <c r="K4" s="131">
        <f t="shared" ref="K4:K8" si="6">J4+I4</f>
        <v>35954.434800000003</v>
      </c>
      <c r="L4" s="22">
        <f>G4*B4</f>
        <v>141105.58000000002</v>
      </c>
      <c r="M4" s="24">
        <f>G4*C4</f>
        <v>12699.502200000001</v>
      </c>
      <c r="N4" s="23">
        <f>M4+L4</f>
        <v>153805.0822</v>
      </c>
      <c r="O4" s="128">
        <f>H4*B4</f>
        <v>9162.700000000008</v>
      </c>
      <c r="P4" s="129">
        <f>H4*C4</f>
        <v>824.64300000000071</v>
      </c>
      <c r="Q4" s="23">
        <f>P4+O4</f>
        <v>9987.343000000008</v>
      </c>
    </row>
    <row r="5" spans="1:20" ht="30" x14ac:dyDescent="0.25">
      <c r="A5" s="165" t="s">
        <v>12</v>
      </c>
      <c r="B5" s="18">
        <v>125115</v>
      </c>
      <c r="C5" s="13">
        <f t="shared" ref="C5:C8" si="7">0.09*B5</f>
        <v>11260.35</v>
      </c>
      <c r="D5" s="13">
        <f t="shared" ref="D5:D8" si="8">SUM(B5:C5)</f>
        <v>136375.35</v>
      </c>
      <c r="E5" s="27" t="s">
        <v>272</v>
      </c>
      <c r="F5" s="19">
        <v>0.18</v>
      </c>
      <c r="G5" s="20">
        <v>0.77</v>
      </c>
      <c r="H5" s="21">
        <f t="shared" ref="H5:H8" si="9">1-F5-G5</f>
        <v>5.0000000000000044E-2</v>
      </c>
      <c r="I5" s="22">
        <f t="shared" si="4"/>
        <v>22520.7</v>
      </c>
      <c r="J5" s="130">
        <f t="shared" si="5"/>
        <v>2026.8630000000001</v>
      </c>
      <c r="K5" s="131">
        <f t="shared" si="6"/>
        <v>24547.563000000002</v>
      </c>
      <c r="L5" s="22">
        <f t="shared" ref="L5:L8" si="10">G5*B5</f>
        <v>96338.55</v>
      </c>
      <c r="M5" s="24">
        <f t="shared" ref="M5:M8" si="11">G5*C5</f>
        <v>8670.4695000000011</v>
      </c>
      <c r="N5" s="23">
        <f t="shared" ref="N5:N8" si="12">M5+L5</f>
        <v>105009.01950000001</v>
      </c>
      <c r="O5" s="128">
        <f t="shared" ref="O5:O8" si="13">H5*B5</f>
        <v>6255.7500000000055</v>
      </c>
      <c r="P5" s="129">
        <f t="shared" ref="P5:P8" si="14">H5*C5</f>
        <v>563.0175000000005</v>
      </c>
      <c r="Q5" s="23">
        <f t="shared" ref="Q5:Q8" si="15">P5+O5</f>
        <v>6818.7675000000063</v>
      </c>
    </row>
    <row r="6" spans="1:20" ht="30" x14ac:dyDescent="0.25">
      <c r="A6" s="165" t="s">
        <v>13</v>
      </c>
      <c r="B6" s="18">
        <v>115539</v>
      </c>
      <c r="C6" s="13">
        <f t="shared" si="7"/>
        <v>10398.51</v>
      </c>
      <c r="D6" s="13">
        <f t="shared" si="8"/>
        <v>125937.51</v>
      </c>
      <c r="E6" s="27" t="s">
        <v>272</v>
      </c>
      <c r="F6" s="19">
        <v>0.18</v>
      </c>
      <c r="G6" s="20">
        <v>0.77</v>
      </c>
      <c r="H6" s="21">
        <f t="shared" si="9"/>
        <v>5.0000000000000044E-2</v>
      </c>
      <c r="I6" s="22">
        <f t="shared" si="4"/>
        <v>20797.02</v>
      </c>
      <c r="J6" s="130">
        <f t="shared" si="5"/>
        <v>1871.7318</v>
      </c>
      <c r="K6" s="131">
        <f t="shared" si="6"/>
        <v>22668.751800000002</v>
      </c>
      <c r="L6" s="22">
        <f t="shared" si="10"/>
        <v>88965.03</v>
      </c>
      <c r="M6" s="24">
        <f t="shared" si="11"/>
        <v>8006.8527000000004</v>
      </c>
      <c r="N6" s="23">
        <f t="shared" si="12"/>
        <v>96971.882700000002</v>
      </c>
      <c r="O6" s="128">
        <f t="shared" si="13"/>
        <v>5776.9500000000053</v>
      </c>
      <c r="P6" s="129">
        <f t="shared" si="14"/>
        <v>519.92550000000051</v>
      </c>
      <c r="Q6" s="23">
        <f t="shared" si="15"/>
        <v>6296.8755000000056</v>
      </c>
    </row>
    <row r="7" spans="1:20" ht="30" x14ac:dyDescent="0.25">
      <c r="A7" s="165" t="s">
        <v>14</v>
      </c>
      <c r="B7" s="18">
        <v>22668</v>
      </c>
      <c r="C7" s="13">
        <f t="shared" si="7"/>
        <v>2040.12</v>
      </c>
      <c r="D7" s="13">
        <f t="shared" si="8"/>
        <v>24708.12</v>
      </c>
      <c r="E7" s="27" t="s">
        <v>272</v>
      </c>
      <c r="F7" s="19">
        <v>0.18</v>
      </c>
      <c r="G7" s="20">
        <v>0.77</v>
      </c>
      <c r="H7" s="21">
        <f t="shared" ref="H7" si="16">1-F7-G7</f>
        <v>5.0000000000000044E-2</v>
      </c>
      <c r="I7" s="22">
        <f t="shared" ref="I7" si="17">F7*B7</f>
        <v>4080.24</v>
      </c>
      <c r="J7" s="130">
        <f t="shared" ref="J7" si="18">F7*C7</f>
        <v>367.22159999999997</v>
      </c>
      <c r="K7" s="131">
        <f t="shared" ref="K7" si="19">J7+I7</f>
        <v>4447.4615999999996</v>
      </c>
      <c r="L7" s="22">
        <f t="shared" ref="L7" si="20">G7*B7</f>
        <v>17454.36</v>
      </c>
      <c r="M7" s="24">
        <f t="shared" ref="M7" si="21">G7*C7</f>
        <v>1570.8924</v>
      </c>
      <c r="N7" s="23">
        <f t="shared" ref="N7" si="22">M7+L7</f>
        <v>19025.252400000001</v>
      </c>
      <c r="O7" s="128">
        <f t="shared" ref="O7" si="23">H7*B7</f>
        <v>1133.400000000001</v>
      </c>
      <c r="P7" s="129">
        <f t="shared" ref="P7" si="24">H7*C7</f>
        <v>102.00600000000009</v>
      </c>
      <c r="Q7" s="23">
        <f t="shared" ref="Q7" si="25">P7+O7</f>
        <v>1235.4060000000011</v>
      </c>
    </row>
    <row r="8" spans="1:20" ht="30" x14ac:dyDescent="0.25">
      <c r="A8" s="165" t="s">
        <v>136</v>
      </c>
      <c r="B8" s="18">
        <v>85567</v>
      </c>
      <c r="C8" s="13">
        <f t="shared" si="7"/>
        <v>7701.03</v>
      </c>
      <c r="D8" s="13">
        <f t="shared" si="8"/>
        <v>93268.03</v>
      </c>
      <c r="E8" s="27" t="s">
        <v>272</v>
      </c>
      <c r="F8" s="19">
        <v>0.18</v>
      </c>
      <c r="G8" s="20">
        <v>0.77</v>
      </c>
      <c r="H8" s="21">
        <f t="shared" si="9"/>
        <v>5.0000000000000044E-2</v>
      </c>
      <c r="I8" s="22">
        <f t="shared" si="4"/>
        <v>15402.06</v>
      </c>
      <c r="J8" s="130">
        <f t="shared" si="5"/>
        <v>1386.1853999999998</v>
      </c>
      <c r="K8" s="131">
        <f t="shared" si="6"/>
        <v>16788.2454</v>
      </c>
      <c r="L8" s="22">
        <f t="shared" si="10"/>
        <v>65886.59</v>
      </c>
      <c r="M8" s="24">
        <f t="shared" si="11"/>
        <v>5929.7930999999999</v>
      </c>
      <c r="N8" s="23">
        <f t="shared" si="12"/>
        <v>71816.383099999992</v>
      </c>
      <c r="O8" s="128">
        <f t="shared" si="13"/>
        <v>4278.350000000004</v>
      </c>
      <c r="P8" s="129">
        <f t="shared" si="14"/>
        <v>385.05150000000032</v>
      </c>
      <c r="Q8" s="23">
        <f t="shared" si="15"/>
        <v>4663.4015000000045</v>
      </c>
    </row>
    <row r="10" spans="1:20" s="99" customFormat="1" x14ac:dyDescent="0.25">
      <c r="A10" s="166" t="s">
        <v>15</v>
      </c>
      <c r="B10" s="100">
        <f>SUM(B11)</f>
        <v>1036</v>
      </c>
      <c r="C10" s="100">
        <f>SUM(C11)</f>
        <v>93.24</v>
      </c>
      <c r="D10" s="100">
        <f t="shared" ref="D10" si="26">B10+C10</f>
        <v>1129.24</v>
      </c>
      <c r="E10" s="110"/>
      <c r="F10" s="14">
        <f>F11</f>
        <v>0.18</v>
      </c>
      <c r="G10" s="25">
        <f>G11</f>
        <v>0.77</v>
      </c>
      <c r="H10" s="14">
        <f>1-G10-F10</f>
        <v>4.9999999999999989E-2</v>
      </c>
      <c r="I10" s="107">
        <f t="shared" ref="I10:P10" si="27">SUM(I11)</f>
        <v>186.48</v>
      </c>
      <c r="J10" s="108">
        <f t="shared" si="27"/>
        <v>16.783199999999997</v>
      </c>
      <c r="K10" s="109">
        <f t="shared" si="27"/>
        <v>203.26319999999998</v>
      </c>
      <c r="L10" s="107">
        <f t="shared" si="27"/>
        <v>797.72</v>
      </c>
      <c r="M10" s="110">
        <f t="shared" si="27"/>
        <v>71.794799999999995</v>
      </c>
      <c r="N10" s="109">
        <f t="shared" si="27"/>
        <v>869.51480000000004</v>
      </c>
      <c r="O10" s="101">
        <f t="shared" si="27"/>
        <v>51.800000000000047</v>
      </c>
      <c r="P10" s="6">
        <f t="shared" si="27"/>
        <v>4.6620000000000035</v>
      </c>
      <c r="Q10" s="109">
        <f>P10+O10</f>
        <v>56.462000000000053</v>
      </c>
      <c r="R10" s="146"/>
    </row>
    <row r="11" spans="1:20" ht="30" x14ac:dyDescent="0.25">
      <c r="A11" s="165" t="s">
        <v>100</v>
      </c>
      <c r="B11" s="18">
        <v>1036</v>
      </c>
      <c r="C11" s="13">
        <f t="shared" ref="C11" si="28">0.09*B11</f>
        <v>93.24</v>
      </c>
      <c r="D11" s="13">
        <f t="shared" ref="D11" si="29">SUM(B11:C11)</f>
        <v>1129.24</v>
      </c>
      <c r="E11" s="27" t="s">
        <v>272</v>
      </c>
      <c r="F11" s="19">
        <v>0.18</v>
      </c>
      <c r="G11" s="20">
        <v>0.77</v>
      </c>
      <c r="H11" s="21">
        <f>1-F11-G11</f>
        <v>5.0000000000000044E-2</v>
      </c>
      <c r="I11" s="22">
        <f t="shared" ref="I11" si="30">F11*B11</f>
        <v>186.48</v>
      </c>
      <c r="J11" s="130">
        <f t="shared" ref="J11" si="31">F11*C11</f>
        <v>16.783199999999997</v>
      </c>
      <c r="K11" s="131">
        <f t="shared" ref="K11" si="32">J11+I11</f>
        <v>203.26319999999998</v>
      </c>
      <c r="L11" s="22">
        <f>G11*B11</f>
        <v>797.72</v>
      </c>
      <c r="M11" s="24">
        <f>G11*C11</f>
        <v>71.794799999999995</v>
      </c>
      <c r="N11" s="23">
        <f>M11+L11</f>
        <v>869.51480000000004</v>
      </c>
      <c r="O11" s="22">
        <f>H11*B11</f>
        <v>51.800000000000047</v>
      </c>
      <c r="P11" s="24">
        <f>H11*C11</f>
        <v>4.6620000000000035</v>
      </c>
      <c r="Q11" s="23">
        <f>P11+O11</f>
        <v>56.462000000000053</v>
      </c>
    </row>
    <row r="13" spans="1:20" s="99" customFormat="1" x14ac:dyDescent="0.25">
      <c r="A13" s="164" t="s">
        <v>17</v>
      </c>
      <c r="B13" s="100">
        <f>SUM(B14:B23)</f>
        <v>160265</v>
      </c>
      <c r="C13" s="100">
        <f t="shared" ref="C13:D13" si="33">SUM(C14:C23)</f>
        <v>14423.850000000002</v>
      </c>
      <c r="D13" s="100">
        <f t="shared" si="33"/>
        <v>174688.85</v>
      </c>
      <c r="E13" s="110"/>
      <c r="F13" s="14">
        <f>AVERAGE(F14:F23)</f>
        <v>0.16199999999999998</v>
      </c>
      <c r="G13" s="14">
        <f>AVERAGE(G14:G23)</f>
        <v>0.79299999999999982</v>
      </c>
      <c r="H13" s="14">
        <f>1-G13-F13</f>
        <v>4.5000000000000207E-2</v>
      </c>
      <c r="I13" s="107">
        <f t="shared" ref="I13:Q13" si="34">SUM(I14:I23)</f>
        <v>25183.260000000006</v>
      </c>
      <c r="J13" s="124">
        <f t="shared" si="34"/>
        <v>2266.4933999999998</v>
      </c>
      <c r="K13" s="124">
        <f t="shared" si="34"/>
        <v>27449.753400000005</v>
      </c>
      <c r="L13" s="107">
        <f t="shared" si="34"/>
        <v>128086.39</v>
      </c>
      <c r="M13" s="124">
        <f t="shared" si="34"/>
        <v>11527.775099999999</v>
      </c>
      <c r="N13" s="124">
        <f t="shared" si="34"/>
        <v>139614.16509999998</v>
      </c>
      <c r="O13" s="107">
        <f t="shared" si="34"/>
        <v>6995.3500000000058</v>
      </c>
      <c r="P13" s="124">
        <f t="shared" si="34"/>
        <v>629.58150000000046</v>
      </c>
      <c r="Q13" s="124">
        <f t="shared" si="34"/>
        <v>7624.9315000000051</v>
      </c>
      <c r="R13" s="146"/>
    </row>
    <row r="14" spans="1:20" ht="30" x14ac:dyDescent="0.25">
      <c r="A14" s="165" t="s">
        <v>101</v>
      </c>
      <c r="B14" s="18">
        <v>20358</v>
      </c>
      <c r="C14" s="13">
        <f>0.09*B14</f>
        <v>1832.22</v>
      </c>
      <c r="D14" s="13">
        <f>SUM(B14:C14)</f>
        <v>22190.22</v>
      </c>
      <c r="E14" s="27" t="s">
        <v>272</v>
      </c>
      <c r="F14" s="19">
        <v>0</v>
      </c>
      <c r="G14" s="20">
        <v>1</v>
      </c>
      <c r="H14" s="21">
        <f>1-F14-G14</f>
        <v>0</v>
      </c>
      <c r="I14" s="22">
        <f>F14*B14</f>
        <v>0</v>
      </c>
      <c r="J14" s="130">
        <f>F14*C14</f>
        <v>0</v>
      </c>
      <c r="K14" s="131">
        <f>J14+I14</f>
        <v>0</v>
      </c>
      <c r="L14" s="22">
        <f>G14*B14</f>
        <v>20358</v>
      </c>
      <c r="M14" s="24">
        <f>G14*C14</f>
        <v>1832.22</v>
      </c>
      <c r="N14" s="23">
        <f>M14+L14</f>
        <v>22190.22</v>
      </c>
      <c r="O14" s="22">
        <f>H14*B14</f>
        <v>0</v>
      </c>
      <c r="P14" s="24">
        <f>H14*C14</f>
        <v>0</v>
      </c>
      <c r="Q14" s="23">
        <f>P14+O14</f>
        <v>0</v>
      </c>
    </row>
    <row r="15" spans="1:20" x14ac:dyDescent="0.25">
      <c r="A15" s="165" t="s">
        <v>19</v>
      </c>
      <c r="B15" s="18">
        <v>90000</v>
      </c>
      <c r="C15" s="13">
        <f>0.09*B15</f>
        <v>8100</v>
      </c>
      <c r="D15" s="13">
        <f>SUM(B15:C15)</f>
        <v>98100</v>
      </c>
      <c r="E15" s="27" t="s">
        <v>148</v>
      </c>
      <c r="F15" s="19">
        <v>0.18</v>
      </c>
      <c r="G15" s="20">
        <v>0.77</v>
      </c>
      <c r="H15" s="21">
        <f>1-F15-G15</f>
        <v>5.0000000000000044E-2</v>
      </c>
      <c r="I15" s="22">
        <f>F15*B15</f>
        <v>16200</v>
      </c>
      <c r="J15" s="130">
        <f>F15*C15</f>
        <v>1458</v>
      </c>
      <c r="K15" s="131">
        <f>J15+I15</f>
        <v>17658</v>
      </c>
      <c r="L15" s="22">
        <f>G15*B15</f>
        <v>69300</v>
      </c>
      <c r="M15" s="24">
        <f>G15*C15</f>
        <v>6237</v>
      </c>
      <c r="N15" s="23">
        <f>M15+L15</f>
        <v>75537</v>
      </c>
      <c r="O15" s="22">
        <f>H15*B15</f>
        <v>4500.0000000000036</v>
      </c>
      <c r="P15" s="24">
        <f>H15*C15</f>
        <v>405.00000000000034</v>
      </c>
      <c r="Q15" s="23">
        <f>P15+O15</f>
        <v>4905.0000000000036</v>
      </c>
    </row>
    <row r="16" spans="1:20" x14ac:dyDescent="0.25">
      <c r="A16" s="165" t="s">
        <v>20</v>
      </c>
      <c r="B16" s="18">
        <v>22150</v>
      </c>
      <c r="C16" s="13">
        <f>0.09*B16</f>
        <v>1993.5</v>
      </c>
      <c r="D16" s="13">
        <f>SUM(B16:C16)</f>
        <v>24143.5</v>
      </c>
      <c r="E16" s="27" t="s">
        <v>148</v>
      </c>
      <c r="F16" s="19">
        <v>0.18</v>
      </c>
      <c r="G16" s="20">
        <v>0.77</v>
      </c>
      <c r="H16" s="21">
        <f>1-F16-G16</f>
        <v>5.0000000000000044E-2</v>
      </c>
      <c r="I16" s="22">
        <f>F16*B16</f>
        <v>3987</v>
      </c>
      <c r="J16" s="130">
        <f>F16*C16</f>
        <v>358.83</v>
      </c>
      <c r="K16" s="131">
        <f>J16+I16</f>
        <v>4345.83</v>
      </c>
      <c r="L16" s="22">
        <f>G16*B16</f>
        <v>17055.5</v>
      </c>
      <c r="M16" s="24">
        <f>G16*C16</f>
        <v>1534.9950000000001</v>
      </c>
      <c r="N16" s="23">
        <f>M16+L16</f>
        <v>18590.494999999999</v>
      </c>
      <c r="O16" s="22">
        <f>H16*B16</f>
        <v>1107.5000000000009</v>
      </c>
      <c r="P16" s="24">
        <f>H16*C16</f>
        <v>99.675000000000082</v>
      </c>
      <c r="Q16" s="23">
        <f>P16+O16</f>
        <v>1207.1750000000011</v>
      </c>
    </row>
    <row r="17" spans="1:18" x14ac:dyDescent="0.25">
      <c r="A17" s="165" t="s">
        <v>102</v>
      </c>
      <c r="B17" s="18">
        <v>8000</v>
      </c>
      <c r="C17" s="13">
        <f>0.09*B17</f>
        <v>720</v>
      </c>
      <c r="D17" s="13">
        <f>SUM(B17:C17)</f>
        <v>8720</v>
      </c>
      <c r="E17" s="27" t="s">
        <v>148</v>
      </c>
      <c r="F17" s="19">
        <v>0.18</v>
      </c>
      <c r="G17" s="20">
        <v>0.77</v>
      </c>
      <c r="H17" s="21">
        <f>1-F17-G17</f>
        <v>5.0000000000000044E-2</v>
      </c>
      <c r="I17" s="22">
        <f t="shared" ref="I17:I23" si="35">F17*B17</f>
        <v>1440</v>
      </c>
      <c r="J17" s="130">
        <f t="shared" ref="J17:J23" si="36">F17*C17</f>
        <v>129.6</v>
      </c>
      <c r="K17" s="131">
        <f t="shared" ref="K17:K23" si="37">J17+I17</f>
        <v>1569.6</v>
      </c>
      <c r="L17" s="22">
        <f t="shared" ref="L17:L23" si="38">G17*B17</f>
        <v>6160</v>
      </c>
      <c r="M17" s="24">
        <f t="shared" ref="M17:M23" si="39">G17*C17</f>
        <v>554.4</v>
      </c>
      <c r="N17" s="23">
        <f t="shared" ref="N17:N23" si="40">M17+L17</f>
        <v>6714.4</v>
      </c>
      <c r="O17" s="22">
        <f t="shared" ref="O17:O23" si="41">H17*B17</f>
        <v>400.00000000000034</v>
      </c>
      <c r="P17" s="24">
        <f t="shared" ref="P17:P23" si="42">H17*C17</f>
        <v>36.000000000000028</v>
      </c>
      <c r="Q17" s="23">
        <f t="shared" ref="Q17:Q23" si="43">P17+O17</f>
        <v>436.00000000000034</v>
      </c>
    </row>
    <row r="18" spans="1:18" x14ac:dyDescent="0.25">
      <c r="A18" s="165" t="s">
        <v>22</v>
      </c>
      <c r="B18" s="18">
        <v>4677</v>
      </c>
      <c r="C18" s="13">
        <f t="shared" ref="C18:C23" si="44">0.09*B18</f>
        <v>420.93</v>
      </c>
      <c r="D18" s="13">
        <f t="shared" ref="D18:D23" si="45">SUM(B18:C18)</f>
        <v>5097.93</v>
      </c>
      <c r="E18" s="27" t="s">
        <v>148</v>
      </c>
      <c r="F18" s="19">
        <v>0.18</v>
      </c>
      <c r="G18" s="20">
        <v>0.77</v>
      </c>
      <c r="H18" s="21">
        <f t="shared" ref="H18:H23" si="46">1-F18-G18</f>
        <v>5.0000000000000044E-2</v>
      </c>
      <c r="I18" s="22">
        <f t="shared" si="35"/>
        <v>841.86</v>
      </c>
      <c r="J18" s="130">
        <f t="shared" si="36"/>
        <v>75.767399999999995</v>
      </c>
      <c r="K18" s="131">
        <f t="shared" si="37"/>
        <v>917.62739999999997</v>
      </c>
      <c r="L18" s="22">
        <f t="shared" si="38"/>
        <v>3601.29</v>
      </c>
      <c r="M18" s="24">
        <f t="shared" si="39"/>
        <v>324.11610000000002</v>
      </c>
      <c r="N18" s="23">
        <f t="shared" si="40"/>
        <v>3925.4061000000002</v>
      </c>
      <c r="O18" s="22">
        <f t="shared" si="41"/>
        <v>233.85000000000022</v>
      </c>
      <c r="P18" s="24">
        <f t="shared" si="42"/>
        <v>21.04650000000002</v>
      </c>
      <c r="Q18" s="23">
        <f t="shared" si="43"/>
        <v>254.89650000000023</v>
      </c>
    </row>
    <row r="19" spans="1:18" x14ac:dyDescent="0.25">
      <c r="A19" s="165" t="s">
        <v>23</v>
      </c>
      <c r="B19" s="18">
        <v>791</v>
      </c>
      <c r="C19" s="13">
        <f t="shared" si="44"/>
        <v>71.19</v>
      </c>
      <c r="D19" s="13">
        <f t="shared" si="45"/>
        <v>862.19</v>
      </c>
      <c r="E19" s="27" t="s">
        <v>148</v>
      </c>
      <c r="F19" s="19">
        <v>0.18</v>
      </c>
      <c r="G19" s="20">
        <v>0.77</v>
      </c>
      <c r="H19" s="21">
        <f t="shared" si="46"/>
        <v>5.0000000000000044E-2</v>
      </c>
      <c r="I19" s="22">
        <f t="shared" si="35"/>
        <v>142.38</v>
      </c>
      <c r="J19" s="130">
        <f t="shared" si="36"/>
        <v>12.8142</v>
      </c>
      <c r="K19" s="131">
        <f t="shared" si="37"/>
        <v>155.1942</v>
      </c>
      <c r="L19" s="22">
        <f t="shared" si="38"/>
        <v>609.07000000000005</v>
      </c>
      <c r="M19" s="24">
        <f t="shared" si="39"/>
        <v>54.816299999999998</v>
      </c>
      <c r="N19" s="23">
        <f t="shared" si="40"/>
        <v>663.88630000000001</v>
      </c>
      <c r="O19" s="22">
        <f t="shared" si="41"/>
        <v>39.550000000000033</v>
      </c>
      <c r="P19" s="24">
        <f t="shared" si="42"/>
        <v>3.559500000000003</v>
      </c>
      <c r="Q19" s="23">
        <f t="shared" si="43"/>
        <v>43.109500000000033</v>
      </c>
    </row>
    <row r="20" spans="1:18" x14ac:dyDescent="0.25">
      <c r="A20" s="165" t="s">
        <v>24</v>
      </c>
      <c r="B20" s="18">
        <v>65</v>
      </c>
      <c r="C20" s="13">
        <f t="shared" si="44"/>
        <v>5.85</v>
      </c>
      <c r="D20" s="13">
        <f t="shared" si="45"/>
        <v>70.849999999999994</v>
      </c>
      <c r="E20" s="27" t="s">
        <v>148</v>
      </c>
      <c r="F20" s="19">
        <v>0.18</v>
      </c>
      <c r="G20" s="20">
        <v>0.77</v>
      </c>
      <c r="H20" s="21">
        <f t="shared" si="46"/>
        <v>5.0000000000000044E-2</v>
      </c>
      <c r="I20" s="22">
        <f t="shared" si="35"/>
        <v>11.7</v>
      </c>
      <c r="J20" s="130">
        <f t="shared" si="36"/>
        <v>1.0529999999999999</v>
      </c>
      <c r="K20" s="131">
        <f t="shared" si="37"/>
        <v>12.753</v>
      </c>
      <c r="L20" s="22">
        <f t="shared" si="38"/>
        <v>50.050000000000004</v>
      </c>
      <c r="M20" s="24">
        <f t="shared" si="39"/>
        <v>4.5045000000000002</v>
      </c>
      <c r="N20" s="23">
        <f t="shared" si="40"/>
        <v>54.554500000000004</v>
      </c>
      <c r="O20" s="22">
        <f t="shared" si="41"/>
        <v>3.2500000000000027</v>
      </c>
      <c r="P20" s="24">
        <f t="shared" si="42"/>
        <v>0.29250000000000026</v>
      </c>
      <c r="Q20" s="23">
        <f t="shared" si="43"/>
        <v>3.5425000000000031</v>
      </c>
    </row>
    <row r="21" spans="1:18" x14ac:dyDescent="0.25">
      <c r="A21" s="165" t="s">
        <v>25</v>
      </c>
      <c r="B21" s="18">
        <v>1331</v>
      </c>
      <c r="C21" s="13">
        <f t="shared" si="44"/>
        <v>119.78999999999999</v>
      </c>
      <c r="D21" s="13">
        <f t="shared" si="45"/>
        <v>1450.79</v>
      </c>
      <c r="E21" s="27" t="s">
        <v>148</v>
      </c>
      <c r="F21" s="19">
        <v>0.18</v>
      </c>
      <c r="G21" s="20">
        <v>0.77</v>
      </c>
      <c r="H21" s="21">
        <f t="shared" si="46"/>
        <v>5.0000000000000044E-2</v>
      </c>
      <c r="I21" s="22">
        <f t="shared" si="35"/>
        <v>239.57999999999998</v>
      </c>
      <c r="J21" s="130">
        <f t="shared" si="36"/>
        <v>21.562199999999997</v>
      </c>
      <c r="K21" s="131">
        <f t="shared" si="37"/>
        <v>261.1422</v>
      </c>
      <c r="L21" s="22">
        <f t="shared" si="38"/>
        <v>1024.8700000000001</v>
      </c>
      <c r="M21" s="24">
        <f t="shared" si="39"/>
        <v>92.238299999999995</v>
      </c>
      <c r="N21" s="23">
        <f t="shared" si="40"/>
        <v>1117.1083000000001</v>
      </c>
      <c r="O21" s="22">
        <f t="shared" si="41"/>
        <v>66.550000000000054</v>
      </c>
      <c r="P21" s="24">
        <f t="shared" si="42"/>
        <v>5.9895000000000049</v>
      </c>
      <c r="Q21" s="23">
        <f t="shared" si="43"/>
        <v>72.539500000000061</v>
      </c>
    </row>
    <row r="22" spans="1:18" x14ac:dyDescent="0.25">
      <c r="A22" s="165" t="s">
        <v>26</v>
      </c>
      <c r="B22" s="18">
        <v>515</v>
      </c>
      <c r="C22" s="13">
        <f t="shared" si="44"/>
        <v>46.35</v>
      </c>
      <c r="D22" s="13">
        <f t="shared" si="45"/>
        <v>561.35</v>
      </c>
      <c r="E22" s="27" t="s">
        <v>148</v>
      </c>
      <c r="F22" s="19">
        <v>0.18</v>
      </c>
      <c r="G22" s="20">
        <v>0.77</v>
      </c>
      <c r="H22" s="21">
        <f t="shared" si="46"/>
        <v>5.0000000000000044E-2</v>
      </c>
      <c r="I22" s="22">
        <f t="shared" si="35"/>
        <v>92.7</v>
      </c>
      <c r="J22" s="130">
        <f t="shared" si="36"/>
        <v>8.343</v>
      </c>
      <c r="K22" s="131">
        <f t="shared" si="37"/>
        <v>101.04300000000001</v>
      </c>
      <c r="L22" s="22">
        <f t="shared" si="38"/>
        <v>396.55</v>
      </c>
      <c r="M22" s="24">
        <f t="shared" si="39"/>
        <v>35.689500000000002</v>
      </c>
      <c r="N22" s="23">
        <f t="shared" si="40"/>
        <v>432.23950000000002</v>
      </c>
      <c r="O22" s="22">
        <f t="shared" si="41"/>
        <v>25.750000000000021</v>
      </c>
      <c r="P22" s="24">
        <f t="shared" si="42"/>
        <v>2.3175000000000021</v>
      </c>
      <c r="Q22" s="23">
        <f t="shared" si="43"/>
        <v>28.067500000000024</v>
      </c>
    </row>
    <row r="23" spans="1:18" x14ac:dyDescent="0.25">
      <c r="A23" s="165" t="s">
        <v>29</v>
      </c>
      <c r="B23" s="18">
        <v>12378</v>
      </c>
      <c r="C23" s="13">
        <f t="shared" si="44"/>
        <v>1114.02</v>
      </c>
      <c r="D23" s="13">
        <f t="shared" si="45"/>
        <v>13492.02</v>
      </c>
      <c r="E23" s="27" t="s">
        <v>148</v>
      </c>
      <c r="F23" s="19">
        <v>0.18</v>
      </c>
      <c r="G23" s="20">
        <v>0.77</v>
      </c>
      <c r="H23" s="21">
        <f t="shared" si="46"/>
        <v>5.0000000000000044E-2</v>
      </c>
      <c r="I23" s="22">
        <f t="shared" si="35"/>
        <v>2228.04</v>
      </c>
      <c r="J23" s="130">
        <f t="shared" si="36"/>
        <v>200.52359999999999</v>
      </c>
      <c r="K23" s="131">
        <f t="shared" si="37"/>
        <v>2428.5636</v>
      </c>
      <c r="L23" s="22">
        <f t="shared" si="38"/>
        <v>9531.06</v>
      </c>
      <c r="M23" s="24">
        <f t="shared" si="39"/>
        <v>857.79539999999997</v>
      </c>
      <c r="N23" s="23">
        <f t="shared" si="40"/>
        <v>10388.8554</v>
      </c>
      <c r="O23" s="22">
        <f t="shared" si="41"/>
        <v>618.90000000000055</v>
      </c>
      <c r="P23" s="24">
        <f t="shared" si="42"/>
        <v>55.70100000000005</v>
      </c>
      <c r="Q23" s="23">
        <f t="shared" si="43"/>
        <v>674.60100000000057</v>
      </c>
    </row>
    <row r="24" spans="1:18" x14ac:dyDescent="0.25">
      <c r="A24" s="165"/>
    </row>
    <row r="25" spans="1:18" s="99" customFormat="1" x14ac:dyDescent="0.25">
      <c r="A25" s="164" t="s">
        <v>30</v>
      </c>
      <c r="B25" s="100">
        <f>SUM(B26:B29)</f>
        <v>9934</v>
      </c>
      <c r="C25" s="100">
        <f>B25*0.09</f>
        <v>894.06</v>
      </c>
      <c r="D25" s="100">
        <f>C25+B25</f>
        <v>10828.06</v>
      </c>
      <c r="E25" s="110"/>
      <c r="F25" s="14">
        <f>AVERAGE(F26:F29)</f>
        <v>0.18</v>
      </c>
      <c r="G25" s="14">
        <f>AVERAGE(G26:G29)</f>
        <v>0.77</v>
      </c>
      <c r="H25" s="14">
        <f>1-G25-F25</f>
        <v>4.9999999999999989E-2</v>
      </c>
      <c r="I25" s="107">
        <f t="shared" ref="I25:Q25" si="47">SUM(I26:I29)</f>
        <v>1788.12</v>
      </c>
      <c r="J25" s="108">
        <f t="shared" si="47"/>
        <v>160.93079999999998</v>
      </c>
      <c r="K25" s="109">
        <f t="shared" si="47"/>
        <v>1949.0508</v>
      </c>
      <c r="L25" s="107">
        <f t="shared" si="47"/>
        <v>7649.18</v>
      </c>
      <c r="M25" s="110">
        <f t="shared" si="47"/>
        <v>688.42619999999988</v>
      </c>
      <c r="N25" s="109">
        <f t="shared" si="47"/>
        <v>8337.6062000000002</v>
      </c>
      <c r="O25" s="101">
        <f t="shared" si="47"/>
        <v>496.70000000000044</v>
      </c>
      <c r="P25" s="6">
        <f t="shared" si="47"/>
        <v>44.703000000000038</v>
      </c>
      <c r="Q25" s="109">
        <f t="shared" si="47"/>
        <v>541.40300000000047</v>
      </c>
      <c r="R25" s="146"/>
    </row>
    <row r="26" spans="1:18" x14ac:dyDescent="0.25">
      <c r="A26" s="165" t="s">
        <v>31</v>
      </c>
      <c r="B26" s="18">
        <v>4839</v>
      </c>
      <c r="C26" s="13">
        <f t="shared" ref="C26:C29" si="48">0.09*B26</f>
        <v>435.51</v>
      </c>
      <c r="D26" s="13">
        <f t="shared" ref="D26:D29" si="49">SUM(B26:C26)</f>
        <v>5274.51</v>
      </c>
      <c r="E26" s="27" t="s">
        <v>148</v>
      </c>
      <c r="F26" s="19">
        <v>0.18</v>
      </c>
      <c r="G26" s="20">
        <v>0.77</v>
      </c>
      <c r="H26" s="21">
        <f>1-F26-G26</f>
        <v>5.0000000000000044E-2</v>
      </c>
      <c r="I26" s="22">
        <f t="shared" ref="I26:I29" si="50">F26*B26</f>
        <v>871.02</v>
      </c>
      <c r="J26" s="130">
        <f t="shared" ref="J26:J29" si="51">F26*C26</f>
        <v>78.391799999999989</v>
      </c>
      <c r="K26" s="131">
        <f t="shared" ref="K26:K29" si="52">J26+I26</f>
        <v>949.41179999999997</v>
      </c>
      <c r="L26" s="22">
        <f t="shared" ref="L26:L29" si="53">G26*B26</f>
        <v>3726.03</v>
      </c>
      <c r="M26" s="24">
        <f t="shared" ref="M26:M29" si="54">G26*C26</f>
        <v>335.34269999999998</v>
      </c>
      <c r="N26" s="23">
        <f t="shared" ref="N26:N29" si="55">M26+L26</f>
        <v>4061.3727000000003</v>
      </c>
      <c r="O26" s="22">
        <f t="shared" ref="O26:O29" si="56">H26*B26</f>
        <v>241.95000000000022</v>
      </c>
      <c r="P26" s="24">
        <f t="shared" ref="P26:P29" si="57">H26*C26</f>
        <v>21.775500000000019</v>
      </c>
      <c r="Q26" s="23">
        <f t="shared" ref="Q26:Q29" si="58">P26+O26</f>
        <v>263.72550000000024</v>
      </c>
    </row>
    <row r="27" spans="1:18" x14ac:dyDescent="0.25">
      <c r="A27" s="165" t="s">
        <v>32</v>
      </c>
      <c r="B27" s="18">
        <v>391</v>
      </c>
      <c r="C27" s="13">
        <f t="shared" si="48"/>
        <v>35.19</v>
      </c>
      <c r="D27" s="13">
        <f t="shared" si="49"/>
        <v>426.19</v>
      </c>
      <c r="E27" s="27" t="s">
        <v>148</v>
      </c>
      <c r="F27" s="19">
        <v>0.18</v>
      </c>
      <c r="G27" s="20">
        <v>0.77</v>
      </c>
      <c r="H27" s="21">
        <f t="shared" ref="H27:H29" si="59">1-F27-G27</f>
        <v>5.0000000000000044E-2</v>
      </c>
      <c r="I27" s="22">
        <f t="shared" si="50"/>
        <v>70.38</v>
      </c>
      <c r="J27" s="130">
        <f t="shared" si="51"/>
        <v>6.3341999999999992</v>
      </c>
      <c r="K27" s="131">
        <f t="shared" si="52"/>
        <v>76.714199999999991</v>
      </c>
      <c r="L27" s="22">
        <f t="shared" si="53"/>
        <v>301.07</v>
      </c>
      <c r="M27" s="24">
        <f t="shared" si="54"/>
        <v>27.096299999999999</v>
      </c>
      <c r="N27" s="23">
        <f t="shared" si="55"/>
        <v>328.16629999999998</v>
      </c>
      <c r="O27" s="22">
        <f t="shared" si="56"/>
        <v>19.550000000000018</v>
      </c>
      <c r="P27" s="24">
        <f t="shared" si="57"/>
        <v>1.7595000000000014</v>
      </c>
      <c r="Q27" s="23">
        <f t="shared" si="58"/>
        <v>21.309500000000021</v>
      </c>
    </row>
    <row r="28" spans="1:18" x14ac:dyDescent="0.25">
      <c r="A28" s="165" t="s">
        <v>33</v>
      </c>
      <c r="B28" s="18">
        <v>704</v>
      </c>
      <c r="C28" s="13">
        <f t="shared" si="48"/>
        <v>63.36</v>
      </c>
      <c r="D28" s="13">
        <f t="shared" si="49"/>
        <v>767.36</v>
      </c>
      <c r="E28" s="27" t="s">
        <v>148</v>
      </c>
      <c r="F28" s="19">
        <v>0.18</v>
      </c>
      <c r="G28" s="20">
        <v>0.77</v>
      </c>
      <c r="H28" s="21">
        <f t="shared" si="59"/>
        <v>5.0000000000000044E-2</v>
      </c>
      <c r="I28" s="22">
        <f t="shared" si="50"/>
        <v>126.72</v>
      </c>
      <c r="J28" s="130">
        <f t="shared" si="51"/>
        <v>11.4048</v>
      </c>
      <c r="K28" s="131">
        <f t="shared" si="52"/>
        <v>138.12479999999999</v>
      </c>
      <c r="L28" s="22">
        <f t="shared" si="53"/>
        <v>542.08000000000004</v>
      </c>
      <c r="M28" s="24">
        <f t="shared" si="54"/>
        <v>48.787199999999999</v>
      </c>
      <c r="N28" s="23">
        <f t="shared" si="55"/>
        <v>590.86720000000003</v>
      </c>
      <c r="O28" s="22">
        <f t="shared" si="56"/>
        <v>35.200000000000031</v>
      </c>
      <c r="P28" s="24">
        <f t="shared" si="57"/>
        <v>3.1680000000000028</v>
      </c>
      <c r="Q28" s="23">
        <f t="shared" si="58"/>
        <v>38.368000000000038</v>
      </c>
    </row>
    <row r="29" spans="1:18" x14ac:dyDescent="0.25">
      <c r="A29" s="165" t="s">
        <v>34</v>
      </c>
      <c r="B29" s="18">
        <v>4000</v>
      </c>
      <c r="C29" s="13">
        <f t="shared" si="48"/>
        <v>360</v>
      </c>
      <c r="D29" s="13">
        <f t="shared" si="49"/>
        <v>4360</v>
      </c>
      <c r="E29" s="27" t="s">
        <v>148</v>
      </c>
      <c r="F29" s="19">
        <v>0.18</v>
      </c>
      <c r="G29" s="20">
        <v>0.77</v>
      </c>
      <c r="H29" s="21">
        <f t="shared" si="59"/>
        <v>5.0000000000000044E-2</v>
      </c>
      <c r="I29" s="22">
        <f t="shared" si="50"/>
        <v>720</v>
      </c>
      <c r="J29" s="130">
        <f t="shared" si="51"/>
        <v>64.8</v>
      </c>
      <c r="K29" s="131">
        <f t="shared" si="52"/>
        <v>784.8</v>
      </c>
      <c r="L29" s="22">
        <f t="shared" si="53"/>
        <v>3080</v>
      </c>
      <c r="M29" s="24">
        <f t="shared" si="54"/>
        <v>277.2</v>
      </c>
      <c r="N29" s="23">
        <f t="shared" si="55"/>
        <v>3357.2</v>
      </c>
      <c r="O29" s="22">
        <f t="shared" si="56"/>
        <v>200.00000000000017</v>
      </c>
      <c r="P29" s="24">
        <f t="shared" si="57"/>
        <v>18.000000000000014</v>
      </c>
      <c r="Q29" s="23">
        <f t="shared" si="58"/>
        <v>218.00000000000017</v>
      </c>
    </row>
    <row r="30" spans="1:18" s="35" customFormat="1" x14ac:dyDescent="0.25">
      <c r="A30" s="167"/>
      <c r="B30" s="28"/>
      <c r="C30" s="28"/>
      <c r="D30" s="28"/>
      <c r="E30" s="16"/>
      <c r="F30" s="29"/>
      <c r="G30" s="30"/>
      <c r="H30" s="30"/>
      <c r="I30" s="15"/>
      <c r="J30" s="34"/>
      <c r="K30" s="32"/>
      <c r="L30" s="15"/>
      <c r="M30" s="16"/>
      <c r="N30" s="60"/>
      <c r="O30" s="15"/>
      <c r="P30" s="16"/>
      <c r="Q30" s="32"/>
      <c r="R30" s="147"/>
    </row>
    <row r="31" spans="1:18" s="99" customFormat="1" x14ac:dyDescent="0.25">
      <c r="A31" s="166" t="s">
        <v>35</v>
      </c>
      <c r="B31" s="100">
        <v>0</v>
      </c>
      <c r="C31" s="100">
        <f>B31*0.09</f>
        <v>0</v>
      </c>
      <c r="D31" s="100">
        <f>C31+B31</f>
        <v>0</v>
      </c>
      <c r="E31" s="27" t="s">
        <v>148</v>
      </c>
      <c r="F31" s="14">
        <v>0.18</v>
      </c>
      <c r="G31" s="25">
        <v>0.77</v>
      </c>
      <c r="H31" s="14">
        <f>1-G31-F31</f>
        <v>4.9999999999999989E-2</v>
      </c>
      <c r="I31" s="107">
        <f>F31*B31</f>
        <v>0</v>
      </c>
      <c r="J31" s="108">
        <f>F31*C31</f>
        <v>0</v>
      </c>
      <c r="K31" s="109">
        <f>J31+I31</f>
        <v>0</v>
      </c>
      <c r="L31" s="107">
        <f>I31*D31</f>
        <v>0</v>
      </c>
      <c r="M31" s="110">
        <f>G31*C31</f>
        <v>0</v>
      </c>
      <c r="N31" s="109">
        <f>M31+L31</f>
        <v>0</v>
      </c>
      <c r="O31" s="101">
        <f>B31*H31</f>
        <v>0</v>
      </c>
      <c r="P31" s="6">
        <f>C31*H31</f>
        <v>0</v>
      </c>
      <c r="Q31" s="109">
        <f>P31+O31</f>
        <v>0</v>
      </c>
      <c r="R31" s="146"/>
    </row>
    <row r="32" spans="1:18" s="44" customFormat="1" x14ac:dyDescent="0.25">
      <c r="A32" s="168"/>
      <c r="B32" s="37"/>
      <c r="C32" s="37"/>
      <c r="D32" s="37"/>
      <c r="E32" s="374"/>
      <c r="F32" s="38"/>
      <c r="G32" s="39"/>
      <c r="H32" s="39"/>
      <c r="I32" s="40"/>
      <c r="J32" s="41"/>
      <c r="K32" s="42"/>
      <c r="L32" s="40"/>
      <c r="M32" s="43"/>
      <c r="N32" s="139"/>
      <c r="O32" s="40"/>
      <c r="P32" s="43"/>
      <c r="Q32" s="211"/>
      <c r="R32" s="207"/>
    </row>
    <row r="33" spans="1:18" s="111" customFormat="1" x14ac:dyDescent="0.25">
      <c r="A33" s="169" t="s">
        <v>36</v>
      </c>
      <c r="B33" s="112">
        <f>SUM(B34,B36,B38,B42,B45)</f>
        <v>27170</v>
      </c>
      <c r="C33" s="112">
        <f>B33*0.09</f>
        <v>2445.2999999999997</v>
      </c>
      <c r="D33" s="112">
        <f>B33+C33</f>
        <v>29615.3</v>
      </c>
      <c r="E33" s="375"/>
      <c r="F33" s="47">
        <f>AVERAGE(F34,F36,F39:F40,F43,F45)</f>
        <v>0.17999999999999997</v>
      </c>
      <c r="G33" s="47">
        <f t="shared" ref="G33:H33" si="60">AVERAGE(G34,G36,G39:G40,G43,G45)</f>
        <v>0.77</v>
      </c>
      <c r="H33" s="47">
        <f t="shared" si="60"/>
        <v>5.0000000000000017E-2</v>
      </c>
      <c r="I33" s="113">
        <f t="shared" ref="I33:Q33" si="61">SUM(I34,I36,I38,I42,I45)</f>
        <v>4890.5999999999995</v>
      </c>
      <c r="J33" s="114">
        <f t="shared" si="61"/>
        <v>440.15399999999994</v>
      </c>
      <c r="K33" s="114">
        <f t="shared" si="61"/>
        <v>5330.753999999999</v>
      </c>
      <c r="L33" s="113">
        <f t="shared" si="61"/>
        <v>20920.900000000001</v>
      </c>
      <c r="M33" s="114">
        <f t="shared" si="61"/>
        <v>1882.8809999999999</v>
      </c>
      <c r="N33" s="114">
        <f t="shared" si="61"/>
        <v>22803.781000000003</v>
      </c>
      <c r="O33" s="113">
        <f t="shared" si="61"/>
        <v>1358.5000000000011</v>
      </c>
      <c r="P33" s="114">
        <f t="shared" si="61"/>
        <v>122.2650000000001</v>
      </c>
      <c r="Q33" s="114">
        <f t="shared" si="61"/>
        <v>1480.7650000000012</v>
      </c>
      <c r="R33" s="148"/>
    </row>
    <row r="34" spans="1:18" s="120" customFormat="1" ht="30" x14ac:dyDescent="0.25">
      <c r="A34" s="170" t="s">
        <v>10</v>
      </c>
      <c r="B34" s="116">
        <v>0</v>
      </c>
      <c r="C34" s="100">
        <f>B34*0.09</f>
        <v>0</v>
      </c>
      <c r="D34" s="100">
        <f>C34+B34</f>
        <v>0</v>
      </c>
      <c r="E34" s="27" t="s">
        <v>272</v>
      </c>
      <c r="F34" s="51">
        <v>0.18</v>
      </c>
      <c r="G34" s="52">
        <v>0.77</v>
      </c>
      <c r="H34" s="14">
        <f>1-G34-F34</f>
        <v>4.9999999999999989E-2</v>
      </c>
      <c r="I34" s="117">
        <f>F34*B34</f>
        <v>0</v>
      </c>
      <c r="J34" s="118">
        <f>F34*C34</f>
        <v>0</v>
      </c>
      <c r="K34" s="109">
        <f>J34+I34</f>
        <v>0</v>
      </c>
      <c r="L34" s="117">
        <f>G34*B34</f>
        <v>0</v>
      </c>
      <c r="M34" s="119">
        <f>G34*C34</f>
        <v>0</v>
      </c>
      <c r="N34" s="109">
        <f>M34+L34</f>
        <v>0</v>
      </c>
      <c r="O34" s="101">
        <f>B34*H34</f>
        <v>0</v>
      </c>
      <c r="P34" s="6">
        <f>C34*H34</f>
        <v>0</v>
      </c>
      <c r="Q34" s="109">
        <f>P34+O34</f>
        <v>0</v>
      </c>
      <c r="R34" s="149"/>
    </row>
    <row r="35" spans="1:18" s="61" customFormat="1" x14ac:dyDescent="0.25">
      <c r="A35" s="171"/>
      <c r="B35" s="56"/>
      <c r="C35" s="56"/>
      <c r="D35" s="56"/>
      <c r="E35" s="60"/>
      <c r="F35" s="57"/>
      <c r="G35" s="58"/>
      <c r="H35" s="58"/>
      <c r="I35" s="59"/>
      <c r="J35" s="32"/>
      <c r="K35" s="32"/>
      <c r="L35" s="59"/>
      <c r="M35" s="60"/>
      <c r="N35" s="60"/>
      <c r="O35" s="59"/>
      <c r="P35" s="60"/>
      <c r="Q35" s="32"/>
      <c r="R35" s="150"/>
    </row>
    <row r="36" spans="1:18" s="120" customFormat="1" ht="30" x14ac:dyDescent="0.25">
      <c r="A36" s="170" t="s">
        <v>15</v>
      </c>
      <c r="B36" s="116">
        <v>0</v>
      </c>
      <c r="C36" s="100">
        <f>B36*0.09</f>
        <v>0</v>
      </c>
      <c r="D36" s="100">
        <f>C36+B36</f>
        <v>0</v>
      </c>
      <c r="E36" s="27" t="s">
        <v>272</v>
      </c>
      <c r="F36" s="51">
        <v>0.18</v>
      </c>
      <c r="G36" s="52">
        <v>0.77</v>
      </c>
      <c r="H36" s="14">
        <f>1-G36-F36</f>
        <v>4.9999999999999989E-2</v>
      </c>
      <c r="I36" s="117">
        <f>F36*B36</f>
        <v>0</v>
      </c>
      <c r="J36" s="118">
        <f>F36*C36</f>
        <v>0</v>
      </c>
      <c r="K36" s="109">
        <f>J36+I36</f>
        <v>0</v>
      </c>
      <c r="L36" s="117">
        <f>I36*D36</f>
        <v>0</v>
      </c>
      <c r="M36" s="119">
        <f>G36*C36</f>
        <v>0</v>
      </c>
      <c r="N36" s="109">
        <f>M36+L36</f>
        <v>0</v>
      </c>
      <c r="O36" s="101">
        <f>B36*H36</f>
        <v>0</v>
      </c>
      <c r="P36" s="6">
        <f>C36*H36</f>
        <v>0</v>
      </c>
      <c r="Q36" s="109">
        <f>P36+O36</f>
        <v>0</v>
      </c>
      <c r="R36" s="149"/>
    </row>
    <row r="37" spans="1:18" s="61" customFormat="1" x14ac:dyDescent="0.25">
      <c r="A37" s="171"/>
      <c r="B37" s="56"/>
      <c r="C37" s="56"/>
      <c r="D37" s="56"/>
      <c r="E37" s="60"/>
      <c r="F37" s="57"/>
      <c r="G37" s="58"/>
      <c r="H37" s="58"/>
      <c r="I37" s="59"/>
      <c r="J37" s="32"/>
      <c r="K37" s="32"/>
      <c r="L37" s="59"/>
      <c r="M37" s="60"/>
      <c r="N37" s="60"/>
      <c r="O37" s="59"/>
      <c r="P37" s="60"/>
      <c r="Q37" s="32"/>
      <c r="R37" s="150"/>
    </row>
    <row r="38" spans="1:18" s="99" customFormat="1" x14ac:dyDescent="0.25">
      <c r="A38" s="164" t="s">
        <v>37</v>
      </c>
      <c r="B38" s="100">
        <f>SUM(B39:B40)</f>
        <v>27170</v>
      </c>
      <c r="C38" s="100">
        <f>B38*0.09</f>
        <v>2445.2999999999997</v>
      </c>
      <c r="D38" s="100">
        <f>C38+B38</f>
        <v>29615.3</v>
      </c>
      <c r="E38" s="110"/>
      <c r="F38" s="14">
        <f>AVERAGE(F39:F40)</f>
        <v>0.18</v>
      </c>
      <c r="G38" s="14">
        <f>AVERAGE(G39:G40)</f>
        <v>0.77</v>
      </c>
      <c r="H38" s="14">
        <f>1-G38-F38</f>
        <v>4.9999999999999989E-2</v>
      </c>
      <c r="I38" s="117">
        <f t="shared" ref="I38:Q38" si="62">SUM(I39:I40)</f>
        <v>4890.5999999999995</v>
      </c>
      <c r="J38" s="118">
        <f t="shared" si="62"/>
        <v>440.15399999999994</v>
      </c>
      <c r="K38" s="109">
        <f t="shared" si="62"/>
        <v>5330.753999999999</v>
      </c>
      <c r="L38" s="117">
        <f t="shared" si="62"/>
        <v>20920.900000000001</v>
      </c>
      <c r="M38" s="119">
        <f t="shared" si="62"/>
        <v>1882.8809999999999</v>
      </c>
      <c r="N38" s="109">
        <f t="shared" si="62"/>
        <v>22803.781000000003</v>
      </c>
      <c r="O38" s="101">
        <f t="shared" si="62"/>
        <v>1358.5000000000011</v>
      </c>
      <c r="P38" s="6">
        <f t="shared" si="62"/>
        <v>122.2650000000001</v>
      </c>
      <c r="Q38" s="109">
        <f t="shared" si="62"/>
        <v>1480.7650000000012</v>
      </c>
      <c r="R38" s="146"/>
    </row>
    <row r="39" spans="1:18" x14ac:dyDescent="0.25">
      <c r="A39" s="165" t="s">
        <v>38</v>
      </c>
      <c r="B39" s="18">
        <v>0</v>
      </c>
      <c r="C39" s="13">
        <f t="shared" ref="C39:C40" si="63">0.09*B39</f>
        <v>0</v>
      </c>
      <c r="D39" s="13">
        <f t="shared" ref="D39:D40" si="64">SUM(B39:C39)</f>
        <v>0</v>
      </c>
      <c r="E39" s="27" t="s">
        <v>148</v>
      </c>
      <c r="F39" s="19">
        <v>0.18</v>
      </c>
      <c r="G39" s="20">
        <v>0.77</v>
      </c>
      <c r="H39" s="21">
        <f t="shared" ref="H39:H40" si="65">1-F39-G39</f>
        <v>5.0000000000000044E-2</v>
      </c>
      <c r="I39" s="22">
        <f t="shared" ref="I39:I40" si="66">F39*B39</f>
        <v>0</v>
      </c>
      <c r="J39" s="130">
        <f t="shared" ref="J39:J40" si="67">F39*C39</f>
        <v>0</v>
      </c>
      <c r="K39" s="131">
        <f t="shared" ref="K39:K40" si="68">J39+I39</f>
        <v>0</v>
      </c>
      <c r="L39" s="22">
        <f t="shared" ref="L39:L40" si="69">G39*B39</f>
        <v>0</v>
      </c>
      <c r="M39" s="24">
        <f t="shared" ref="M39:M40" si="70">G39*C39</f>
        <v>0</v>
      </c>
      <c r="N39" s="23">
        <f t="shared" ref="N39:N40" si="71">M39+L39</f>
        <v>0</v>
      </c>
      <c r="O39" s="22">
        <f t="shared" ref="O39:O40" si="72">H39*B39</f>
        <v>0</v>
      </c>
      <c r="P39" s="24">
        <f t="shared" ref="P39:P40" si="73">H39*C39</f>
        <v>0</v>
      </c>
      <c r="Q39" s="23">
        <f t="shared" ref="Q39:Q40" si="74">P39+O39</f>
        <v>0</v>
      </c>
    </row>
    <row r="40" spans="1:18" x14ac:dyDescent="0.25">
      <c r="A40" s="165" t="s">
        <v>39</v>
      </c>
      <c r="B40" s="18">
        <v>27170</v>
      </c>
      <c r="C40" s="13">
        <f t="shared" si="63"/>
        <v>2445.2999999999997</v>
      </c>
      <c r="D40" s="13">
        <f t="shared" si="64"/>
        <v>29615.3</v>
      </c>
      <c r="E40" s="27" t="s">
        <v>148</v>
      </c>
      <c r="F40" s="19">
        <v>0.18</v>
      </c>
      <c r="G40" s="20">
        <v>0.77</v>
      </c>
      <c r="H40" s="21">
        <f t="shared" si="65"/>
        <v>5.0000000000000044E-2</v>
      </c>
      <c r="I40" s="22">
        <f t="shared" si="66"/>
        <v>4890.5999999999995</v>
      </c>
      <c r="J40" s="130">
        <f t="shared" si="67"/>
        <v>440.15399999999994</v>
      </c>
      <c r="K40" s="131">
        <f t="shared" si="68"/>
        <v>5330.753999999999</v>
      </c>
      <c r="L40" s="22">
        <f t="shared" si="69"/>
        <v>20920.900000000001</v>
      </c>
      <c r="M40" s="24">
        <f t="shared" si="70"/>
        <v>1882.8809999999999</v>
      </c>
      <c r="N40" s="23">
        <f t="shared" si="71"/>
        <v>22803.781000000003</v>
      </c>
      <c r="O40" s="22">
        <f t="shared" si="72"/>
        <v>1358.5000000000011</v>
      </c>
      <c r="P40" s="24">
        <f t="shared" si="73"/>
        <v>122.2650000000001</v>
      </c>
      <c r="Q40" s="23">
        <f t="shared" si="74"/>
        <v>1480.7650000000012</v>
      </c>
    </row>
    <row r="41" spans="1:18" s="61" customFormat="1" x14ac:dyDescent="0.25">
      <c r="A41" s="171"/>
      <c r="B41" s="56"/>
      <c r="C41" s="56"/>
      <c r="D41" s="56"/>
      <c r="E41" s="60"/>
      <c r="F41" s="57"/>
      <c r="G41" s="58"/>
      <c r="H41" s="58"/>
      <c r="I41" s="59"/>
      <c r="J41" s="32"/>
      <c r="K41" s="32"/>
      <c r="L41" s="59"/>
      <c r="M41" s="60"/>
      <c r="N41" s="60"/>
      <c r="O41" s="59"/>
      <c r="P41" s="60"/>
      <c r="Q41" s="32"/>
      <c r="R41" s="150"/>
    </row>
    <row r="42" spans="1:18" s="99" customFormat="1" x14ac:dyDescent="0.25">
      <c r="A42" s="164" t="s">
        <v>30</v>
      </c>
      <c r="B42" s="100">
        <f>B43</f>
        <v>0</v>
      </c>
      <c r="C42" s="100">
        <f>SUM(C43)</f>
        <v>0</v>
      </c>
      <c r="D42" s="100">
        <f>SUM(D43)</f>
        <v>0</v>
      </c>
      <c r="E42" s="110"/>
      <c r="F42" s="14">
        <f>AVERAGE(F43:F44)</f>
        <v>0.18</v>
      </c>
      <c r="G42" s="14">
        <f>AVERAGE(G43:G44)</f>
        <v>0.77</v>
      </c>
      <c r="H42" s="14">
        <f>1-G42-F42</f>
        <v>4.9999999999999989E-2</v>
      </c>
      <c r="I42" s="117">
        <f t="shared" ref="I42:Q42" si="75">SUM(I43)</f>
        <v>0</v>
      </c>
      <c r="J42" s="118">
        <f t="shared" si="75"/>
        <v>0</v>
      </c>
      <c r="K42" s="109">
        <f t="shared" si="75"/>
        <v>0</v>
      </c>
      <c r="L42" s="117">
        <f t="shared" si="75"/>
        <v>0</v>
      </c>
      <c r="M42" s="119">
        <f t="shared" si="75"/>
        <v>0</v>
      </c>
      <c r="N42" s="109">
        <f t="shared" si="75"/>
        <v>0</v>
      </c>
      <c r="O42" s="101">
        <f t="shared" si="75"/>
        <v>0</v>
      </c>
      <c r="P42" s="6">
        <f t="shared" si="75"/>
        <v>0</v>
      </c>
      <c r="Q42" s="109">
        <f t="shared" si="75"/>
        <v>0</v>
      </c>
      <c r="R42" s="146"/>
    </row>
    <row r="43" spans="1:18" x14ac:dyDescent="0.25">
      <c r="A43" s="165" t="s">
        <v>40</v>
      </c>
      <c r="B43" s="18">
        <v>0</v>
      </c>
      <c r="C43" s="13">
        <f t="shared" ref="C43" si="76">0.09*B43</f>
        <v>0</v>
      </c>
      <c r="D43" s="13">
        <f t="shared" ref="D43" si="77">SUM(B43:C43)</f>
        <v>0</v>
      </c>
      <c r="E43" s="27" t="s">
        <v>148</v>
      </c>
      <c r="F43" s="19">
        <v>0.18</v>
      </c>
      <c r="G43" s="20">
        <v>0.77</v>
      </c>
      <c r="H43" s="21">
        <f t="shared" ref="H43" si="78">1-F43-G43</f>
        <v>5.0000000000000044E-2</v>
      </c>
      <c r="I43" s="22">
        <f t="shared" ref="I43" si="79">F43*B43</f>
        <v>0</v>
      </c>
      <c r="J43" s="130">
        <f t="shared" ref="J43" si="80">F43*C43</f>
        <v>0</v>
      </c>
      <c r="K43" s="131">
        <f t="shared" ref="K43" si="81">J43+I43</f>
        <v>0</v>
      </c>
      <c r="L43" s="22">
        <f t="shared" ref="L43" si="82">G43*B43</f>
        <v>0</v>
      </c>
      <c r="M43" s="24">
        <f t="shared" ref="M43" si="83">G43*C43</f>
        <v>0</v>
      </c>
      <c r="N43" s="23">
        <f t="shared" ref="N43" si="84">M43+L43</f>
        <v>0</v>
      </c>
      <c r="O43" s="22">
        <f t="shared" ref="O43" si="85">H43*B43</f>
        <v>0</v>
      </c>
      <c r="P43" s="24">
        <f t="shared" ref="P43" si="86">H43*C43</f>
        <v>0</v>
      </c>
      <c r="Q43" s="23">
        <f t="shared" ref="Q43" si="87">P43+O43</f>
        <v>0</v>
      </c>
    </row>
    <row r="44" spans="1:18" s="45" customFormat="1" x14ac:dyDescent="0.25">
      <c r="A44" s="172"/>
      <c r="B44" s="46"/>
      <c r="C44" s="46"/>
      <c r="D44" s="46"/>
      <c r="E44" s="66"/>
      <c r="F44" s="62"/>
      <c r="G44" s="63"/>
      <c r="H44" s="63"/>
      <c r="I44" s="49"/>
      <c r="J44" s="64"/>
      <c r="K44" s="65"/>
      <c r="L44" s="49"/>
      <c r="M44" s="66"/>
      <c r="N44" s="54"/>
      <c r="O44" s="49"/>
      <c r="P44" s="66"/>
      <c r="Q44" s="65"/>
      <c r="R44" s="151"/>
    </row>
    <row r="45" spans="1:18" s="99" customFormat="1" x14ac:dyDescent="0.25">
      <c r="A45" s="166" t="s">
        <v>35</v>
      </c>
      <c r="B45" s="100">
        <v>0</v>
      </c>
      <c r="C45" s="100">
        <f>B45*0.09</f>
        <v>0</v>
      </c>
      <c r="D45" s="100">
        <f>SUM(B45:C45)</f>
        <v>0</v>
      </c>
      <c r="E45" s="27" t="s">
        <v>148</v>
      </c>
      <c r="F45" s="51">
        <v>0.18</v>
      </c>
      <c r="G45" s="52">
        <v>0.77</v>
      </c>
      <c r="H45" s="14">
        <f>1-G45-F45</f>
        <v>4.9999999999999989E-2</v>
      </c>
      <c r="I45" s="117">
        <f>F45*B45</f>
        <v>0</v>
      </c>
      <c r="J45" s="118">
        <f>F45*C45</f>
        <v>0</v>
      </c>
      <c r="K45" s="109">
        <f>J45+I45</f>
        <v>0</v>
      </c>
      <c r="L45" s="117">
        <f>G45*B45</f>
        <v>0</v>
      </c>
      <c r="M45" s="119">
        <f>G45*C45</f>
        <v>0</v>
      </c>
      <c r="N45" s="109">
        <f>M45+L45</f>
        <v>0</v>
      </c>
      <c r="O45" s="101">
        <f>B45*H45</f>
        <v>0</v>
      </c>
      <c r="P45" s="6">
        <f>C45*H45</f>
        <v>0</v>
      </c>
      <c r="Q45" s="109">
        <f>P45+O45</f>
        <v>0</v>
      </c>
      <c r="R45" s="146"/>
    </row>
    <row r="46" spans="1:18" s="67" customFormat="1" x14ac:dyDescent="0.25">
      <c r="A46" s="173"/>
      <c r="B46" s="68"/>
      <c r="C46" s="68"/>
      <c r="D46" s="68"/>
      <c r="E46" s="74"/>
      <c r="F46" s="69"/>
      <c r="G46" s="70"/>
      <c r="H46" s="70"/>
      <c r="I46" s="71"/>
      <c r="J46" s="72"/>
      <c r="K46" s="73"/>
      <c r="L46" s="71"/>
      <c r="M46" s="74"/>
      <c r="N46" s="140"/>
      <c r="O46" s="71"/>
      <c r="P46" s="74"/>
      <c r="Q46" s="212"/>
      <c r="R46" s="207"/>
    </row>
    <row r="47" spans="1:18" s="111" customFormat="1" x14ac:dyDescent="0.25">
      <c r="A47" s="169" t="s">
        <v>41</v>
      </c>
      <c r="B47" s="112">
        <f>SUM(B48,B50,B55,B60,B63)</f>
        <v>226066</v>
      </c>
      <c r="C47" s="112">
        <f>B47*0.09</f>
        <v>20345.939999999999</v>
      </c>
      <c r="D47" s="112">
        <f>B47+C47</f>
        <v>246411.94</v>
      </c>
      <c r="E47" s="375"/>
      <c r="F47" s="47">
        <f>AVERAGE(F48,F51:F53,F56:F58,F61,F63)</f>
        <v>1</v>
      </c>
      <c r="G47" s="47">
        <f t="shared" ref="G47:H47" si="88">AVERAGE(G48,G51:G53,G56:G58,G61,G63)</f>
        <v>0</v>
      </c>
      <c r="H47" s="47">
        <f t="shared" si="88"/>
        <v>0</v>
      </c>
      <c r="I47" s="113">
        <f t="shared" ref="I47:Q47" si="89">SUM(I48,I50,I55,I60,I63)</f>
        <v>226066</v>
      </c>
      <c r="J47" s="114">
        <f t="shared" si="89"/>
        <v>20345.940000000002</v>
      </c>
      <c r="K47" s="114">
        <f t="shared" si="89"/>
        <v>246411.94</v>
      </c>
      <c r="L47" s="113">
        <f t="shared" si="89"/>
        <v>0</v>
      </c>
      <c r="M47" s="114">
        <f t="shared" si="89"/>
        <v>0</v>
      </c>
      <c r="N47" s="114">
        <f t="shared" si="89"/>
        <v>0</v>
      </c>
      <c r="O47" s="113">
        <f t="shared" si="89"/>
        <v>0</v>
      </c>
      <c r="P47" s="114">
        <f t="shared" si="89"/>
        <v>0</v>
      </c>
      <c r="Q47" s="114">
        <f t="shared" si="89"/>
        <v>0</v>
      </c>
      <c r="R47" s="148"/>
    </row>
    <row r="48" spans="1:18" s="120" customFormat="1" ht="30" x14ac:dyDescent="0.25">
      <c r="A48" s="174" t="s">
        <v>42</v>
      </c>
      <c r="B48" s="116">
        <v>70000</v>
      </c>
      <c r="C48" s="116">
        <f>B48*0.09</f>
        <v>6300</v>
      </c>
      <c r="D48" s="116">
        <f>C48+B48</f>
        <v>76300</v>
      </c>
      <c r="E48" s="27" t="s">
        <v>272</v>
      </c>
      <c r="F48" s="75">
        <v>1</v>
      </c>
      <c r="G48" s="76">
        <f t="shared" ref="G48:G63" si="90">1-F48</f>
        <v>0</v>
      </c>
      <c r="H48" s="14">
        <f>1-G48-F48</f>
        <v>0</v>
      </c>
      <c r="I48" s="117">
        <f t="shared" ref="I48:I63" si="91">F48*B48</f>
        <v>70000</v>
      </c>
      <c r="J48" s="118">
        <f>F48*C48</f>
        <v>6300</v>
      </c>
      <c r="K48" s="109">
        <f>J48+I48</f>
        <v>76300</v>
      </c>
      <c r="L48" s="117">
        <f>G48*B48</f>
        <v>0</v>
      </c>
      <c r="M48" s="119">
        <f>G48*C48</f>
        <v>0</v>
      </c>
      <c r="N48" s="109">
        <f>M48+L48</f>
        <v>0</v>
      </c>
      <c r="O48" s="101">
        <f>B48*H48</f>
        <v>0</v>
      </c>
      <c r="P48" s="6">
        <f>C48*H48</f>
        <v>0</v>
      </c>
      <c r="Q48" s="109">
        <f>P48+O48</f>
        <v>0</v>
      </c>
      <c r="R48" s="149"/>
    </row>
    <row r="49" spans="1:18" s="45" customFormat="1" x14ac:dyDescent="0.25">
      <c r="A49" s="172"/>
      <c r="B49" s="46"/>
      <c r="C49" s="46"/>
      <c r="D49" s="46"/>
      <c r="E49" s="66"/>
      <c r="F49" s="62"/>
      <c r="G49" s="77"/>
      <c r="H49" s="77"/>
      <c r="I49" s="53"/>
      <c r="J49" s="64"/>
      <c r="K49" s="65"/>
      <c r="L49" s="53"/>
      <c r="M49" s="66"/>
      <c r="N49" s="54"/>
      <c r="O49" s="53"/>
      <c r="P49" s="66"/>
      <c r="Q49" s="65"/>
      <c r="R49" s="151"/>
    </row>
    <row r="50" spans="1:18" s="120" customFormat="1" x14ac:dyDescent="0.25">
      <c r="A50" s="174" t="s">
        <v>15</v>
      </c>
      <c r="B50" s="116">
        <f>SUM(B51:B53)</f>
        <v>18707</v>
      </c>
      <c r="C50" s="116">
        <f t="shared" ref="C50:D50" si="92">SUM(C51:C53)</f>
        <v>1683.6299999999999</v>
      </c>
      <c r="D50" s="116">
        <f t="shared" si="92"/>
        <v>20390.63</v>
      </c>
      <c r="E50" s="119"/>
      <c r="F50" s="78">
        <f>AVERAGE(F51:F53)</f>
        <v>1</v>
      </c>
      <c r="G50" s="77">
        <f>AVERAGE(G51:G53)</f>
        <v>0</v>
      </c>
      <c r="H50" s="14">
        <f>1-G50-F50</f>
        <v>0</v>
      </c>
      <c r="I50" s="117">
        <f t="shared" ref="I50:Q50" si="93">SUM(I51:I53)</f>
        <v>18707</v>
      </c>
      <c r="J50" s="118">
        <f t="shared" si="93"/>
        <v>1683.6299999999999</v>
      </c>
      <c r="K50" s="109">
        <f t="shared" si="93"/>
        <v>20390.63</v>
      </c>
      <c r="L50" s="117">
        <f t="shared" si="93"/>
        <v>0</v>
      </c>
      <c r="M50" s="119">
        <f t="shared" si="93"/>
        <v>0</v>
      </c>
      <c r="N50" s="109">
        <f t="shared" si="93"/>
        <v>0</v>
      </c>
      <c r="O50" s="101">
        <f t="shared" si="93"/>
        <v>0</v>
      </c>
      <c r="P50" s="6">
        <f t="shared" si="93"/>
        <v>0</v>
      </c>
      <c r="Q50" s="109">
        <f t="shared" si="93"/>
        <v>0</v>
      </c>
      <c r="R50" s="149"/>
    </row>
    <row r="51" spans="1:18" s="12" customFormat="1" ht="30" x14ac:dyDescent="0.25">
      <c r="A51" s="165" t="s">
        <v>43</v>
      </c>
      <c r="B51" s="18">
        <v>4428</v>
      </c>
      <c r="C51" s="13">
        <f t="shared" ref="C51:C53" si="94">0.09*B51</f>
        <v>398.52</v>
      </c>
      <c r="D51" s="13">
        <f t="shared" ref="D51:D53" si="95">SUM(B51:C51)</f>
        <v>4826.5200000000004</v>
      </c>
      <c r="E51" s="27" t="s">
        <v>272</v>
      </c>
      <c r="F51" s="79">
        <v>1</v>
      </c>
      <c r="G51" s="80">
        <f t="shared" si="90"/>
        <v>0</v>
      </c>
      <c r="H51" s="81">
        <f>1-G51-F51</f>
        <v>0</v>
      </c>
      <c r="I51" s="22">
        <f t="shared" si="91"/>
        <v>4428</v>
      </c>
      <c r="J51" s="130">
        <f t="shared" ref="J51:J53" si="96">F51*C51</f>
        <v>398.52</v>
      </c>
      <c r="K51" s="131">
        <f t="shared" ref="K51:K53" si="97">J51+I51</f>
        <v>4826.5200000000004</v>
      </c>
      <c r="L51" s="22">
        <f t="shared" ref="L51:L53" si="98">G51*B51</f>
        <v>0</v>
      </c>
      <c r="M51" s="24">
        <f t="shared" ref="M51:M53" si="99">G51*C51</f>
        <v>0</v>
      </c>
      <c r="N51" s="23">
        <f t="shared" ref="N51:N53" si="100">M51+L51</f>
        <v>0</v>
      </c>
      <c r="O51" s="22">
        <f t="shared" ref="O51:O53" si="101">H51*B51</f>
        <v>0</v>
      </c>
      <c r="P51" s="24">
        <f t="shared" ref="P51:P53" si="102">H51*C51</f>
        <v>0</v>
      </c>
      <c r="Q51" s="23">
        <f t="shared" ref="Q51:Q53" si="103">P51+O51</f>
        <v>0</v>
      </c>
      <c r="R51" s="152"/>
    </row>
    <row r="52" spans="1:18" s="12" customFormat="1" ht="30" x14ac:dyDescent="0.25">
      <c r="A52" s="165" t="s">
        <v>44</v>
      </c>
      <c r="B52" s="18">
        <v>0</v>
      </c>
      <c r="C52" s="13">
        <f>0.09*B52</f>
        <v>0</v>
      </c>
      <c r="D52" s="13">
        <f t="shared" si="95"/>
        <v>0</v>
      </c>
      <c r="E52" s="27" t="s">
        <v>272</v>
      </c>
      <c r="F52" s="79">
        <v>1</v>
      </c>
      <c r="G52" s="80">
        <f t="shared" si="90"/>
        <v>0</v>
      </c>
      <c r="H52" s="81">
        <f t="shared" ref="H52:H53" si="104">1-G52-F52</f>
        <v>0</v>
      </c>
      <c r="I52" s="22">
        <f t="shared" si="91"/>
        <v>0</v>
      </c>
      <c r="J52" s="130">
        <f t="shared" si="96"/>
        <v>0</v>
      </c>
      <c r="K52" s="131">
        <f t="shared" si="97"/>
        <v>0</v>
      </c>
      <c r="L52" s="22">
        <f t="shared" si="98"/>
        <v>0</v>
      </c>
      <c r="M52" s="24">
        <f t="shared" si="99"/>
        <v>0</v>
      </c>
      <c r="N52" s="23">
        <f t="shared" si="100"/>
        <v>0</v>
      </c>
      <c r="O52" s="22">
        <f t="shared" si="101"/>
        <v>0</v>
      </c>
      <c r="P52" s="24">
        <f t="shared" si="102"/>
        <v>0</v>
      </c>
      <c r="Q52" s="23">
        <f t="shared" si="103"/>
        <v>0</v>
      </c>
      <c r="R52" s="152"/>
    </row>
    <row r="53" spans="1:18" s="12" customFormat="1" ht="30" x14ac:dyDescent="0.25">
      <c r="A53" s="165" t="s">
        <v>137</v>
      </c>
      <c r="B53" s="18">
        <v>14279</v>
      </c>
      <c r="C53" s="13">
        <f t="shared" si="94"/>
        <v>1285.1099999999999</v>
      </c>
      <c r="D53" s="13">
        <f t="shared" si="95"/>
        <v>15564.11</v>
      </c>
      <c r="E53" s="27" t="s">
        <v>272</v>
      </c>
      <c r="F53" s="79">
        <v>1</v>
      </c>
      <c r="G53" s="80">
        <f t="shared" si="90"/>
        <v>0</v>
      </c>
      <c r="H53" s="81">
        <f t="shared" si="104"/>
        <v>0</v>
      </c>
      <c r="I53" s="22">
        <f t="shared" si="91"/>
        <v>14279</v>
      </c>
      <c r="J53" s="130">
        <f t="shared" si="96"/>
        <v>1285.1099999999999</v>
      </c>
      <c r="K53" s="131">
        <f t="shared" si="97"/>
        <v>15564.11</v>
      </c>
      <c r="L53" s="22">
        <f t="shared" si="98"/>
        <v>0</v>
      </c>
      <c r="M53" s="24">
        <f t="shared" si="99"/>
        <v>0</v>
      </c>
      <c r="N53" s="23">
        <f t="shared" si="100"/>
        <v>0</v>
      </c>
      <c r="O53" s="22">
        <f t="shared" si="101"/>
        <v>0</v>
      </c>
      <c r="P53" s="24">
        <f t="shared" si="102"/>
        <v>0</v>
      </c>
      <c r="Q53" s="23">
        <f t="shared" si="103"/>
        <v>0</v>
      </c>
      <c r="R53" s="152"/>
    </row>
    <row r="54" spans="1:18" s="12" customFormat="1" x14ac:dyDescent="0.25">
      <c r="A54" s="175"/>
      <c r="B54" s="13"/>
      <c r="C54" s="13"/>
      <c r="D54" s="13"/>
      <c r="E54" s="27"/>
      <c r="F54" s="14"/>
      <c r="G54" s="77"/>
      <c r="H54" s="77"/>
      <c r="I54" s="53"/>
      <c r="J54" s="83"/>
      <c r="K54" s="65"/>
      <c r="L54" s="53"/>
      <c r="M54" s="27"/>
      <c r="N54" s="54"/>
      <c r="O54" s="53"/>
      <c r="P54" s="27"/>
      <c r="Q54" s="65"/>
      <c r="R54" s="152"/>
    </row>
    <row r="55" spans="1:18" s="120" customFormat="1" x14ac:dyDescent="0.25">
      <c r="A55" s="174" t="s">
        <v>37</v>
      </c>
      <c r="B55" s="116">
        <f>SUM(B56:B58)</f>
        <v>137359</v>
      </c>
      <c r="C55" s="116">
        <f>SUM(C56:C58)</f>
        <v>12362.310000000001</v>
      </c>
      <c r="D55" s="116">
        <f>SUM(D56:D58)</f>
        <v>149721.31</v>
      </c>
      <c r="E55" s="119"/>
      <c r="F55" s="78">
        <f>AVERAGE(F56:F58)</f>
        <v>1</v>
      </c>
      <c r="G55" s="77">
        <f>AVERAGE(G56:G58)</f>
        <v>0</v>
      </c>
      <c r="H55" s="14">
        <f>1-G55-F55</f>
        <v>0</v>
      </c>
      <c r="I55" s="117">
        <f t="shared" ref="I55:Q55" si="105">SUM(I56:I58)</f>
        <v>137359</v>
      </c>
      <c r="J55" s="118">
        <f t="shared" si="105"/>
        <v>12362.310000000001</v>
      </c>
      <c r="K55" s="109">
        <f t="shared" si="105"/>
        <v>149721.31</v>
      </c>
      <c r="L55" s="117">
        <f t="shared" si="105"/>
        <v>0</v>
      </c>
      <c r="M55" s="119">
        <f t="shared" si="105"/>
        <v>0</v>
      </c>
      <c r="N55" s="109">
        <f t="shared" si="105"/>
        <v>0</v>
      </c>
      <c r="O55" s="101">
        <f t="shared" si="105"/>
        <v>0</v>
      </c>
      <c r="P55" s="6">
        <f t="shared" si="105"/>
        <v>0</v>
      </c>
      <c r="Q55" s="109">
        <f t="shared" si="105"/>
        <v>0</v>
      </c>
      <c r="R55" s="149"/>
    </row>
    <row r="56" spans="1:18" s="12" customFormat="1" ht="30" x14ac:dyDescent="0.25">
      <c r="A56" s="165" t="s">
        <v>104</v>
      </c>
      <c r="B56" s="18">
        <v>103853</v>
      </c>
      <c r="C56" s="13">
        <f t="shared" ref="C56:C58" si="106">0.09*B56</f>
        <v>9346.77</v>
      </c>
      <c r="D56" s="13">
        <f t="shared" ref="D56:D58" si="107">SUM(B56:C56)</f>
        <v>113199.77</v>
      </c>
      <c r="E56" s="27" t="s">
        <v>272</v>
      </c>
      <c r="F56" s="79">
        <v>1</v>
      </c>
      <c r="G56" s="80">
        <f t="shared" si="90"/>
        <v>0</v>
      </c>
      <c r="H56" s="81">
        <f>1-G56-F56</f>
        <v>0</v>
      </c>
      <c r="I56" s="22">
        <f t="shared" ref="I56:I58" si="108">F56*B56</f>
        <v>103853</v>
      </c>
      <c r="J56" s="130">
        <f t="shared" ref="J56:J58" si="109">F56*C56</f>
        <v>9346.77</v>
      </c>
      <c r="K56" s="131">
        <f t="shared" ref="K56:K58" si="110">J56+I56</f>
        <v>113199.77</v>
      </c>
      <c r="L56" s="22">
        <f t="shared" ref="L56:L58" si="111">G56*B56</f>
        <v>0</v>
      </c>
      <c r="M56" s="24">
        <f t="shared" ref="M56:M58" si="112">G56*C56</f>
        <v>0</v>
      </c>
      <c r="N56" s="23">
        <f t="shared" ref="N56:N58" si="113">M56+L56</f>
        <v>0</v>
      </c>
      <c r="O56" s="22">
        <f t="shared" ref="O56:O58" si="114">H56*B56</f>
        <v>0</v>
      </c>
      <c r="P56" s="24">
        <f t="shared" ref="P56:P58" si="115">H56*C56</f>
        <v>0</v>
      </c>
      <c r="Q56" s="23">
        <f t="shared" ref="Q56:Q58" si="116">P56+O56</f>
        <v>0</v>
      </c>
      <c r="R56" s="152"/>
    </row>
    <row r="57" spans="1:18" s="12" customFormat="1" ht="30" x14ac:dyDescent="0.25">
      <c r="A57" s="165" t="s">
        <v>47</v>
      </c>
      <c r="B57" s="18">
        <v>33506</v>
      </c>
      <c r="C57" s="13">
        <f t="shared" si="106"/>
        <v>3015.54</v>
      </c>
      <c r="D57" s="13">
        <f t="shared" si="107"/>
        <v>36521.54</v>
      </c>
      <c r="E57" s="27" t="s">
        <v>272</v>
      </c>
      <c r="F57" s="79">
        <v>1</v>
      </c>
      <c r="G57" s="80">
        <f t="shared" si="90"/>
        <v>0</v>
      </c>
      <c r="H57" s="81">
        <f t="shared" ref="H57:H58" si="117">1-G57-F57</f>
        <v>0</v>
      </c>
      <c r="I57" s="22">
        <f t="shared" si="108"/>
        <v>33506</v>
      </c>
      <c r="J57" s="130">
        <f t="shared" si="109"/>
        <v>3015.54</v>
      </c>
      <c r="K57" s="131">
        <f t="shared" si="110"/>
        <v>36521.54</v>
      </c>
      <c r="L57" s="22">
        <f t="shared" si="111"/>
        <v>0</v>
      </c>
      <c r="M57" s="24">
        <f t="shared" si="112"/>
        <v>0</v>
      </c>
      <c r="N57" s="23">
        <f t="shared" si="113"/>
        <v>0</v>
      </c>
      <c r="O57" s="22">
        <f t="shared" si="114"/>
        <v>0</v>
      </c>
      <c r="P57" s="24">
        <f t="shared" si="115"/>
        <v>0</v>
      </c>
      <c r="Q57" s="23">
        <f t="shared" si="116"/>
        <v>0</v>
      </c>
      <c r="R57" s="152"/>
    </row>
    <row r="58" spans="1:18" s="12" customFormat="1" ht="30" x14ac:dyDescent="0.25">
      <c r="A58" s="165" t="s">
        <v>49</v>
      </c>
      <c r="B58" s="18">
        <v>0</v>
      </c>
      <c r="C58" s="13">
        <f t="shared" si="106"/>
        <v>0</v>
      </c>
      <c r="D58" s="13">
        <f t="shared" si="107"/>
        <v>0</v>
      </c>
      <c r="E58" s="27" t="s">
        <v>272</v>
      </c>
      <c r="F58" s="79">
        <v>1</v>
      </c>
      <c r="G58" s="80">
        <f t="shared" si="90"/>
        <v>0</v>
      </c>
      <c r="H58" s="81">
        <f t="shared" si="117"/>
        <v>0</v>
      </c>
      <c r="I58" s="22">
        <f t="shared" si="108"/>
        <v>0</v>
      </c>
      <c r="J58" s="130">
        <f t="shared" si="109"/>
        <v>0</v>
      </c>
      <c r="K58" s="131">
        <f t="shared" si="110"/>
        <v>0</v>
      </c>
      <c r="L58" s="22">
        <f t="shared" si="111"/>
        <v>0</v>
      </c>
      <c r="M58" s="24">
        <f t="shared" si="112"/>
        <v>0</v>
      </c>
      <c r="N58" s="23">
        <f t="shared" si="113"/>
        <v>0</v>
      </c>
      <c r="O58" s="22">
        <f t="shared" si="114"/>
        <v>0</v>
      </c>
      <c r="P58" s="24">
        <f t="shared" si="115"/>
        <v>0</v>
      </c>
      <c r="Q58" s="23">
        <f t="shared" si="116"/>
        <v>0</v>
      </c>
      <c r="R58" s="152"/>
    </row>
    <row r="59" spans="1:18" s="12" customFormat="1" x14ac:dyDescent="0.25">
      <c r="A59" s="175"/>
      <c r="B59" s="13"/>
      <c r="C59" s="13"/>
      <c r="D59" s="13"/>
      <c r="E59" s="27"/>
      <c r="F59" s="14"/>
      <c r="G59" s="77"/>
      <c r="H59" s="77"/>
      <c r="I59" s="53"/>
      <c r="J59" s="83"/>
      <c r="K59" s="65"/>
      <c r="L59" s="53"/>
      <c r="M59" s="27"/>
      <c r="N59" s="54"/>
      <c r="O59" s="53"/>
      <c r="P59" s="27"/>
      <c r="Q59" s="65"/>
      <c r="R59" s="152"/>
    </row>
    <row r="60" spans="1:18" s="99" customFormat="1" x14ac:dyDescent="0.25">
      <c r="A60" s="164" t="s">
        <v>30</v>
      </c>
      <c r="B60" s="100">
        <f>SUM(B61:B61)</f>
        <v>0</v>
      </c>
      <c r="C60" s="100">
        <f>B60*0.09</f>
        <v>0</v>
      </c>
      <c r="D60" s="100">
        <f>C60+B60</f>
        <v>0</v>
      </c>
      <c r="E60" s="110"/>
      <c r="F60" s="14">
        <f>AVERAGE(F61)</f>
        <v>1</v>
      </c>
      <c r="G60" s="14">
        <f>AVERAGE(G61)</f>
        <v>0</v>
      </c>
      <c r="H60" s="14">
        <f>1-G60-F60</f>
        <v>0</v>
      </c>
      <c r="I60" s="117">
        <f t="shared" ref="I60:Q60" si="118">SUM(I61)</f>
        <v>0</v>
      </c>
      <c r="J60" s="118">
        <f t="shared" si="118"/>
        <v>0</v>
      </c>
      <c r="K60" s="109">
        <f t="shared" si="118"/>
        <v>0</v>
      </c>
      <c r="L60" s="117">
        <f t="shared" si="118"/>
        <v>0</v>
      </c>
      <c r="M60" s="119">
        <f t="shared" si="118"/>
        <v>0</v>
      </c>
      <c r="N60" s="109">
        <f t="shared" si="118"/>
        <v>0</v>
      </c>
      <c r="O60" s="101">
        <f t="shared" si="118"/>
        <v>0</v>
      </c>
      <c r="P60" s="6">
        <f t="shared" si="118"/>
        <v>0</v>
      </c>
      <c r="Q60" s="109">
        <f t="shared" si="118"/>
        <v>0</v>
      </c>
      <c r="R60" s="146"/>
    </row>
    <row r="61" spans="1:18" ht="30" x14ac:dyDescent="0.25">
      <c r="A61" s="165" t="s">
        <v>50</v>
      </c>
      <c r="B61" s="18">
        <v>0</v>
      </c>
      <c r="C61" s="28">
        <f>B61*0.09</f>
        <v>0</v>
      </c>
      <c r="D61" s="28">
        <f>SUM(B61:C61)</f>
        <v>0</v>
      </c>
      <c r="E61" s="27" t="s">
        <v>272</v>
      </c>
      <c r="F61" s="19">
        <v>1</v>
      </c>
      <c r="G61" s="80">
        <f t="shared" si="90"/>
        <v>0</v>
      </c>
      <c r="H61" s="81">
        <f t="shared" ref="H61" si="119">1-G61-F61</f>
        <v>0</v>
      </c>
      <c r="I61" s="22">
        <f t="shared" si="91"/>
        <v>0</v>
      </c>
      <c r="J61" s="130">
        <f t="shared" ref="J61" si="120">F61*C61</f>
        <v>0</v>
      </c>
      <c r="K61" s="131">
        <f t="shared" ref="K61" si="121">J61+I61</f>
        <v>0</v>
      </c>
      <c r="L61" s="22">
        <f t="shared" ref="L61" si="122">G61*B61</f>
        <v>0</v>
      </c>
      <c r="M61" s="24">
        <f t="shared" ref="M61" si="123">G61*C61</f>
        <v>0</v>
      </c>
      <c r="N61" s="23">
        <f t="shared" ref="N61" si="124">M61+L61</f>
        <v>0</v>
      </c>
      <c r="O61" s="22">
        <f t="shared" ref="O61" si="125">H61*B61</f>
        <v>0</v>
      </c>
      <c r="P61" s="24">
        <f t="shared" ref="P61" si="126">H61*C61</f>
        <v>0</v>
      </c>
      <c r="Q61" s="23">
        <f t="shared" ref="Q61" si="127">P61+O61</f>
        <v>0</v>
      </c>
    </row>
    <row r="62" spans="1:18" s="35" customFormat="1" x14ac:dyDescent="0.25">
      <c r="A62" s="167"/>
      <c r="B62" s="28"/>
      <c r="C62" s="28"/>
      <c r="D62" s="28"/>
      <c r="E62" s="16"/>
      <c r="F62" s="29"/>
      <c r="G62" s="77"/>
      <c r="H62" s="77"/>
      <c r="I62" s="53"/>
      <c r="J62" s="34"/>
      <c r="K62" s="32"/>
      <c r="L62" s="53"/>
      <c r="M62" s="16"/>
      <c r="N62" s="60"/>
      <c r="O62" s="53"/>
      <c r="P62" s="16"/>
      <c r="Q62" s="32"/>
      <c r="R62" s="147"/>
    </row>
    <row r="63" spans="1:18" s="99" customFormat="1" ht="30" x14ac:dyDescent="0.25">
      <c r="A63" s="166" t="s">
        <v>35</v>
      </c>
      <c r="B63" s="100">
        <v>0</v>
      </c>
      <c r="C63" s="100">
        <f>B63*0.09</f>
        <v>0</v>
      </c>
      <c r="D63" s="100">
        <f>C63+B63</f>
        <v>0</v>
      </c>
      <c r="E63" s="27" t="s">
        <v>272</v>
      </c>
      <c r="F63" s="14">
        <v>1</v>
      </c>
      <c r="G63" s="77">
        <f t="shared" si="90"/>
        <v>0</v>
      </c>
      <c r="H63" s="14">
        <f>1-G63-F63</f>
        <v>0</v>
      </c>
      <c r="I63" s="117">
        <f t="shared" si="91"/>
        <v>0</v>
      </c>
      <c r="J63" s="118">
        <f>F63*C63</f>
        <v>0</v>
      </c>
      <c r="K63" s="109">
        <f>J63+I63</f>
        <v>0</v>
      </c>
      <c r="L63" s="117">
        <f>G63*B63</f>
        <v>0</v>
      </c>
      <c r="M63" s="119">
        <f>G63*C63</f>
        <v>0</v>
      </c>
      <c r="N63" s="109">
        <f>M63+L63</f>
        <v>0</v>
      </c>
      <c r="O63" s="101">
        <f>B63*H63</f>
        <v>0</v>
      </c>
      <c r="P63" s="6">
        <f>C63*H63</f>
        <v>0</v>
      </c>
      <c r="Q63" s="109">
        <f>P63+O63</f>
        <v>0</v>
      </c>
      <c r="R63" s="146"/>
    </row>
    <row r="64" spans="1:18" s="84" customFormat="1" x14ac:dyDescent="0.25">
      <c r="A64" s="176"/>
      <c r="B64" s="85"/>
      <c r="C64" s="85"/>
      <c r="D64" s="85"/>
      <c r="E64" s="90"/>
      <c r="F64" s="86"/>
      <c r="G64" s="87"/>
      <c r="H64" s="87"/>
      <c r="I64" s="88"/>
      <c r="J64" s="89"/>
      <c r="K64" s="73"/>
      <c r="L64" s="88"/>
      <c r="M64" s="127"/>
      <c r="N64" s="140"/>
      <c r="O64" s="88"/>
      <c r="P64" s="90"/>
      <c r="Q64" s="212"/>
      <c r="R64" s="207"/>
    </row>
    <row r="65" spans="1:18" s="111" customFormat="1" x14ac:dyDescent="0.25">
      <c r="A65" s="169" t="s">
        <v>51</v>
      </c>
      <c r="B65" s="112">
        <f>SUM(B66:B70)</f>
        <v>9089</v>
      </c>
      <c r="C65" s="112">
        <f>B65*0.09</f>
        <v>818.01</v>
      </c>
      <c r="D65" s="112">
        <f>B65+C65</f>
        <v>9907.01</v>
      </c>
      <c r="E65" s="375"/>
      <c r="F65" s="47">
        <f>AVERAGE(F66:F70)</f>
        <v>0</v>
      </c>
      <c r="G65" s="47">
        <f t="shared" ref="G65:H65" si="128">AVERAGE(G66:G70)</f>
        <v>0</v>
      </c>
      <c r="H65" s="47">
        <f t="shared" si="128"/>
        <v>1</v>
      </c>
      <c r="I65" s="113">
        <f>SUM(I66:I70)</f>
        <v>0</v>
      </c>
      <c r="J65" s="126">
        <f>SUM(J66:J70)</f>
        <v>0</v>
      </c>
      <c r="K65" s="114">
        <f t="shared" ref="K65:K70" si="129">J65+I65</f>
        <v>0</v>
      </c>
      <c r="L65" s="113">
        <f>SUM(L66:L70)</f>
        <v>0</v>
      </c>
      <c r="M65" s="126">
        <f>SUM(M66:M70)</f>
        <v>0</v>
      </c>
      <c r="N65" s="114">
        <f t="shared" ref="N65:N70" si="130">M65+L65</f>
        <v>0</v>
      </c>
      <c r="O65" s="113">
        <f>SUM(O66:O70)</f>
        <v>9089</v>
      </c>
      <c r="P65" s="113">
        <f>SUM(P66:P70)</f>
        <v>818.00999999999988</v>
      </c>
      <c r="Q65" s="114">
        <f t="shared" ref="Q65:Q70" si="131">P65+O65</f>
        <v>9907.01</v>
      </c>
      <c r="R65" s="148"/>
    </row>
    <row r="66" spans="1:18" s="120" customFormat="1" x14ac:dyDescent="0.25">
      <c r="A66" s="174" t="s">
        <v>52</v>
      </c>
      <c r="B66" s="116">
        <v>7100</v>
      </c>
      <c r="C66" s="28">
        <f t="shared" ref="C66:C70" si="132">B66*0.09</f>
        <v>639</v>
      </c>
      <c r="D66" s="28">
        <f t="shared" ref="D66:D70" si="133">SUM(B66:C66)</f>
        <v>7739</v>
      </c>
      <c r="E66" s="373" t="s">
        <v>149</v>
      </c>
      <c r="F66" s="75">
        <v>0</v>
      </c>
      <c r="G66" s="76">
        <v>0</v>
      </c>
      <c r="H66" s="77">
        <f>1-G66-F66</f>
        <v>1</v>
      </c>
      <c r="I66" s="117">
        <f t="shared" ref="I66:I70" si="134">F66*B66</f>
        <v>0</v>
      </c>
      <c r="J66" s="118">
        <f>F66*C66</f>
        <v>0</v>
      </c>
      <c r="K66" s="121">
        <f t="shared" si="129"/>
        <v>0</v>
      </c>
      <c r="L66" s="117">
        <f>G66*B66</f>
        <v>0</v>
      </c>
      <c r="M66" s="119">
        <f>G66*C66</f>
        <v>0</v>
      </c>
      <c r="N66" s="121">
        <f t="shared" si="130"/>
        <v>0</v>
      </c>
      <c r="O66" s="101">
        <f>B66*H66</f>
        <v>7100</v>
      </c>
      <c r="P66" s="6">
        <f>C66*H66</f>
        <v>639</v>
      </c>
      <c r="Q66" s="121">
        <f t="shared" si="131"/>
        <v>7739</v>
      </c>
      <c r="R66" s="149"/>
    </row>
    <row r="67" spans="1:18" s="106" customFormat="1" x14ac:dyDescent="0.25">
      <c r="A67" s="166" t="s">
        <v>15</v>
      </c>
      <c r="B67" s="122">
        <v>870</v>
      </c>
      <c r="C67" s="28">
        <f t="shared" si="132"/>
        <v>78.3</v>
      </c>
      <c r="D67" s="28">
        <f t="shared" si="133"/>
        <v>948.3</v>
      </c>
      <c r="E67" s="373" t="s">
        <v>149</v>
      </c>
      <c r="F67" s="51">
        <v>0</v>
      </c>
      <c r="G67" s="76">
        <v>0</v>
      </c>
      <c r="H67" s="77">
        <f t="shared" ref="H67:H70" si="135">1-G67-F67</f>
        <v>1</v>
      </c>
      <c r="I67" s="117">
        <f t="shared" si="134"/>
        <v>0</v>
      </c>
      <c r="J67" s="118">
        <f>F67*C67</f>
        <v>0</v>
      </c>
      <c r="K67" s="121">
        <f t="shared" si="129"/>
        <v>0</v>
      </c>
      <c r="L67" s="117">
        <f>G67*B67</f>
        <v>0</v>
      </c>
      <c r="M67" s="119">
        <f>G67*C67</f>
        <v>0</v>
      </c>
      <c r="N67" s="121">
        <f t="shared" si="130"/>
        <v>0</v>
      </c>
      <c r="O67" s="101">
        <f>B67*H67</f>
        <v>870</v>
      </c>
      <c r="P67" s="6">
        <f>C67*H67</f>
        <v>78.3</v>
      </c>
      <c r="Q67" s="121">
        <f t="shared" si="131"/>
        <v>948.3</v>
      </c>
      <c r="R67" s="153"/>
    </row>
    <row r="68" spans="1:18" s="106" customFormat="1" x14ac:dyDescent="0.25">
      <c r="A68" s="166" t="s">
        <v>37</v>
      </c>
      <c r="B68" s="122">
        <v>1023</v>
      </c>
      <c r="C68" s="28">
        <f t="shared" si="132"/>
        <v>92.07</v>
      </c>
      <c r="D68" s="28">
        <f t="shared" si="133"/>
        <v>1115.07</v>
      </c>
      <c r="E68" s="373" t="s">
        <v>149</v>
      </c>
      <c r="F68" s="51">
        <v>0</v>
      </c>
      <c r="G68" s="76">
        <v>0</v>
      </c>
      <c r="H68" s="77">
        <f t="shared" si="135"/>
        <v>1</v>
      </c>
      <c r="I68" s="117">
        <f t="shared" si="134"/>
        <v>0</v>
      </c>
      <c r="J68" s="118">
        <f>F68*C68</f>
        <v>0</v>
      </c>
      <c r="K68" s="121">
        <f t="shared" si="129"/>
        <v>0</v>
      </c>
      <c r="L68" s="117">
        <f>G68*B68</f>
        <v>0</v>
      </c>
      <c r="M68" s="119">
        <f>G68*C68</f>
        <v>0</v>
      </c>
      <c r="N68" s="121">
        <f t="shared" si="130"/>
        <v>0</v>
      </c>
      <c r="O68" s="101">
        <f>B68*H68</f>
        <v>1023</v>
      </c>
      <c r="P68" s="6">
        <f>C68*H68</f>
        <v>92.07</v>
      </c>
      <c r="Q68" s="121">
        <f t="shared" si="131"/>
        <v>1115.07</v>
      </c>
      <c r="R68" s="153"/>
    </row>
    <row r="69" spans="1:18" s="106" customFormat="1" x14ac:dyDescent="0.25">
      <c r="A69" s="166" t="s">
        <v>53</v>
      </c>
      <c r="B69" s="122">
        <v>96</v>
      </c>
      <c r="C69" s="28">
        <f t="shared" si="132"/>
        <v>8.64</v>
      </c>
      <c r="D69" s="28">
        <f t="shared" si="133"/>
        <v>104.64</v>
      </c>
      <c r="E69" s="373" t="s">
        <v>149</v>
      </c>
      <c r="F69" s="51">
        <v>0</v>
      </c>
      <c r="G69" s="76">
        <v>0</v>
      </c>
      <c r="H69" s="77">
        <f t="shared" si="135"/>
        <v>1</v>
      </c>
      <c r="I69" s="117">
        <f t="shared" si="134"/>
        <v>0</v>
      </c>
      <c r="J69" s="118">
        <f>F69*C69</f>
        <v>0</v>
      </c>
      <c r="K69" s="121">
        <f t="shared" si="129"/>
        <v>0</v>
      </c>
      <c r="L69" s="117">
        <f>G69*B69</f>
        <v>0</v>
      </c>
      <c r="M69" s="119">
        <f>G69*C69</f>
        <v>0</v>
      </c>
      <c r="N69" s="121">
        <f t="shared" si="130"/>
        <v>0</v>
      </c>
      <c r="O69" s="101">
        <f>B69*H69</f>
        <v>96</v>
      </c>
      <c r="P69" s="6">
        <f>C69*H69</f>
        <v>8.64</v>
      </c>
      <c r="Q69" s="121">
        <f t="shared" si="131"/>
        <v>104.64</v>
      </c>
      <c r="R69" s="153"/>
    </row>
    <row r="70" spans="1:18" s="106" customFormat="1" x14ac:dyDescent="0.25">
      <c r="A70" s="166" t="s">
        <v>54</v>
      </c>
      <c r="B70" s="122">
        <v>0</v>
      </c>
      <c r="C70" s="28">
        <f t="shared" si="132"/>
        <v>0</v>
      </c>
      <c r="D70" s="28">
        <f t="shared" si="133"/>
        <v>0</v>
      </c>
      <c r="E70" s="16"/>
      <c r="F70" s="51">
        <v>0</v>
      </c>
      <c r="G70" s="76">
        <v>0</v>
      </c>
      <c r="H70" s="77">
        <f t="shared" si="135"/>
        <v>1</v>
      </c>
      <c r="I70" s="117">
        <f t="shared" si="134"/>
        <v>0</v>
      </c>
      <c r="J70" s="118">
        <f>F70*C70</f>
        <v>0</v>
      </c>
      <c r="K70" s="121">
        <f t="shared" si="129"/>
        <v>0</v>
      </c>
      <c r="L70" s="117">
        <f>I70*D70</f>
        <v>0</v>
      </c>
      <c r="M70" s="119">
        <f>G70*C70</f>
        <v>0</v>
      </c>
      <c r="N70" s="121">
        <f t="shared" si="130"/>
        <v>0</v>
      </c>
      <c r="O70" s="101">
        <f>B70*H70</f>
        <v>0</v>
      </c>
      <c r="P70" s="6">
        <f>C70*H70</f>
        <v>0</v>
      </c>
      <c r="Q70" s="121">
        <f t="shared" si="131"/>
        <v>0</v>
      </c>
      <c r="R70" s="153"/>
    </row>
    <row r="71" spans="1:18" s="84" customFormat="1" x14ac:dyDescent="0.25">
      <c r="A71" s="177"/>
      <c r="B71" s="37"/>
      <c r="C71" s="93"/>
      <c r="D71" s="93"/>
      <c r="E71" s="43"/>
      <c r="F71" s="86"/>
      <c r="G71" s="87"/>
      <c r="H71" s="87"/>
      <c r="I71" s="88"/>
      <c r="J71" s="89"/>
      <c r="K71" s="73"/>
      <c r="L71" s="88"/>
      <c r="M71" s="90"/>
      <c r="N71" s="140"/>
      <c r="O71" s="88"/>
      <c r="P71" s="90"/>
      <c r="Q71" s="212"/>
      <c r="R71" s="207"/>
    </row>
    <row r="72" spans="1:18" s="111" customFormat="1" x14ac:dyDescent="0.25">
      <c r="A72" s="169" t="s">
        <v>55</v>
      </c>
      <c r="B72" s="112">
        <f>SUM(B73,B79,B81,B88,B90)</f>
        <v>336233</v>
      </c>
      <c r="C72" s="112">
        <f>B72*0.09</f>
        <v>30260.969999999998</v>
      </c>
      <c r="D72" s="112">
        <f>B72+C72</f>
        <v>366493.97</v>
      </c>
      <c r="E72" s="375"/>
      <c r="F72" s="47">
        <f>AVERAGE(F74:F77,F79,F82:F86,F88,F90)</f>
        <v>0</v>
      </c>
      <c r="G72" s="47">
        <f t="shared" ref="G72:H72" si="136">AVERAGE(G74:G77,G79,G82:G86,G88,G90)</f>
        <v>0.91666666666666663</v>
      </c>
      <c r="H72" s="47">
        <f t="shared" si="136"/>
        <v>0</v>
      </c>
      <c r="I72" s="113">
        <f t="shared" ref="I72:Q72" si="137">SUM(I73,I79,I81,I88,I90)</f>
        <v>0</v>
      </c>
      <c r="J72" s="114">
        <f t="shared" si="137"/>
        <v>0</v>
      </c>
      <c r="K72" s="114">
        <f t="shared" si="137"/>
        <v>0</v>
      </c>
      <c r="L72" s="113">
        <f t="shared" si="137"/>
        <v>336233</v>
      </c>
      <c r="M72" s="114">
        <f t="shared" si="137"/>
        <v>30260.97</v>
      </c>
      <c r="N72" s="114">
        <f t="shared" si="137"/>
        <v>366493.97</v>
      </c>
      <c r="O72" s="113">
        <f t="shared" si="137"/>
        <v>0</v>
      </c>
      <c r="P72" s="114">
        <f t="shared" si="137"/>
        <v>0</v>
      </c>
      <c r="Q72" s="114">
        <f t="shared" si="137"/>
        <v>0</v>
      </c>
      <c r="R72" s="148"/>
    </row>
    <row r="73" spans="1:18" s="120" customFormat="1" x14ac:dyDescent="0.25">
      <c r="A73" s="174" t="s">
        <v>10</v>
      </c>
      <c r="B73" s="116">
        <f>SUM(B74:B77)</f>
        <v>158300</v>
      </c>
      <c r="C73" s="116">
        <f t="shared" ref="C73:D73" si="138">SUM(C74:C77)</f>
        <v>14247</v>
      </c>
      <c r="D73" s="116">
        <f t="shared" si="138"/>
        <v>172547</v>
      </c>
      <c r="E73" s="119"/>
      <c r="F73" s="78">
        <f>AVERAGE(F74:F77)</f>
        <v>0</v>
      </c>
      <c r="G73" s="77">
        <v>1</v>
      </c>
      <c r="H73" s="14">
        <f>1-G73-F73</f>
        <v>0</v>
      </c>
      <c r="I73" s="117">
        <f t="shared" ref="I73:P73" si="139">SUM(I74:I77)</f>
        <v>0</v>
      </c>
      <c r="J73" s="118">
        <f t="shared" si="139"/>
        <v>0</v>
      </c>
      <c r="K73" s="121">
        <f t="shared" si="139"/>
        <v>0</v>
      </c>
      <c r="L73" s="117">
        <f t="shared" si="139"/>
        <v>158300</v>
      </c>
      <c r="M73" s="119">
        <f t="shared" si="139"/>
        <v>14247</v>
      </c>
      <c r="N73" s="121">
        <f t="shared" si="139"/>
        <v>172547</v>
      </c>
      <c r="O73" s="101">
        <f t="shared" si="139"/>
        <v>0</v>
      </c>
      <c r="P73" s="6">
        <f t="shared" si="139"/>
        <v>0</v>
      </c>
      <c r="Q73" s="121">
        <f>P73+O73</f>
        <v>0</v>
      </c>
      <c r="R73" s="149"/>
    </row>
    <row r="74" spans="1:18" s="12" customFormat="1" ht="30" x14ac:dyDescent="0.25">
      <c r="A74" s="165" t="s">
        <v>105</v>
      </c>
      <c r="B74" s="18">
        <v>37300</v>
      </c>
      <c r="C74" s="28">
        <f t="shared" ref="C74:C77" si="140">B74*0.09</f>
        <v>3357</v>
      </c>
      <c r="D74" s="28">
        <f t="shared" ref="D74:D77" si="141">SUM(B74:C74)</f>
        <v>40657</v>
      </c>
      <c r="E74" s="27" t="s">
        <v>272</v>
      </c>
      <c r="F74" s="79">
        <v>0</v>
      </c>
      <c r="G74" s="80">
        <v>1</v>
      </c>
      <c r="H74" s="81">
        <f t="shared" ref="H74:H79" si="142">1-G74-F74</f>
        <v>0</v>
      </c>
      <c r="I74" s="82">
        <f t="shared" ref="I74:I90" si="143">F74*B74</f>
        <v>0</v>
      </c>
      <c r="J74" s="132">
        <f t="shared" ref="J74:J77" si="144">F74*C74</f>
        <v>0</v>
      </c>
      <c r="K74" s="23">
        <f t="shared" ref="K74:K77" si="145">J74+I74</f>
        <v>0</v>
      </c>
      <c r="L74" s="22">
        <f t="shared" ref="L74:L77" si="146">G74*B74</f>
        <v>37300</v>
      </c>
      <c r="M74" s="24">
        <f t="shared" ref="M74:M77" si="147">G74*C74</f>
        <v>3357</v>
      </c>
      <c r="N74" s="23">
        <f t="shared" ref="N74:N77" si="148">M74+L74</f>
        <v>40657</v>
      </c>
      <c r="O74" s="22">
        <f t="shared" ref="O74:O77" si="149">H74*B74</f>
        <v>0</v>
      </c>
      <c r="P74" s="24">
        <f t="shared" ref="P74:P77" si="150">H74*C74</f>
        <v>0</v>
      </c>
      <c r="Q74" s="23">
        <f t="shared" ref="Q74:Q77" si="151">P74+O74</f>
        <v>0</v>
      </c>
      <c r="R74" s="152"/>
    </row>
    <row r="75" spans="1:18" s="12" customFormat="1" ht="30" x14ac:dyDescent="0.25">
      <c r="A75" s="165" t="s">
        <v>56</v>
      </c>
      <c r="B75" s="18">
        <v>90000</v>
      </c>
      <c r="C75" s="28">
        <f t="shared" si="140"/>
        <v>8100</v>
      </c>
      <c r="D75" s="28">
        <f t="shared" si="141"/>
        <v>98100</v>
      </c>
      <c r="E75" s="27" t="s">
        <v>272</v>
      </c>
      <c r="F75" s="79">
        <v>0</v>
      </c>
      <c r="G75" s="80">
        <v>1</v>
      </c>
      <c r="H75" s="81">
        <f t="shared" si="142"/>
        <v>0</v>
      </c>
      <c r="I75" s="82">
        <f t="shared" si="143"/>
        <v>0</v>
      </c>
      <c r="J75" s="132">
        <f t="shared" si="144"/>
        <v>0</v>
      </c>
      <c r="K75" s="23">
        <f t="shared" si="145"/>
        <v>0</v>
      </c>
      <c r="L75" s="22">
        <f t="shared" si="146"/>
        <v>90000</v>
      </c>
      <c r="M75" s="24">
        <f t="shared" si="147"/>
        <v>8100</v>
      </c>
      <c r="N75" s="23">
        <f t="shared" si="148"/>
        <v>98100</v>
      </c>
      <c r="O75" s="22">
        <f t="shared" si="149"/>
        <v>0</v>
      </c>
      <c r="P75" s="24">
        <f t="shared" si="150"/>
        <v>0</v>
      </c>
      <c r="Q75" s="23">
        <f t="shared" si="151"/>
        <v>0</v>
      </c>
      <c r="R75" s="152"/>
    </row>
    <row r="76" spans="1:18" s="12" customFormat="1" ht="30" x14ac:dyDescent="0.25">
      <c r="A76" s="165" t="s">
        <v>57</v>
      </c>
      <c r="B76" s="18">
        <v>25000</v>
      </c>
      <c r="C76" s="28">
        <f t="shared" si="140"/>
        <v>2250</v>
      </c>
      <c r="D76" s="28">
        <f t="shared" si="141"/>
        <v>27250</v>
      </c>
      <c r="E76" s="27" t="s">
        <v>272</v>
      </c>
      <c r="F76" s="79">
        <v>0</v>
      </c>
      <c r="G76" s="80">
        <v>1</v>
      </c>
      <c r="H76" s="81">
        <f t="shared" si="142"/>
        <v>0</v>
      </c>
      <c r="I76" s="82">
        <f t="shared" si="143"/>
        <v>0</v>
      </c>
      <c r="J76" s="132">
        <f t="shared" si="144"/>
        <v>0</v>
      </c>
      <c r="K76" s="23">
        <f t="shared" si="145"/>
        <v>0</v>
      </c>
      <c r="L76" s="22">
        <f t="shared" si="146"/>
        <v>25000</v>
      </c>
      <c r="M76" s="24">
        <f t="shared" si="147"/>
        <v>2250</v>
      </c>
      <c r="N76" s="23">
        <f t="shared" si="148"/>
        <v>27250</v>
      </c>
      <c r="O76" s="22">
        <f t="shared" si="149"/>
        <v>0</v>
      </c>
      <c r="P76" s="24">
        <f t="shared" si="150"/>
        <v>0</v>
      </c>
      <c r="Q76" s="23">
        <f t="shared" si="151"/>
        <v>0</v>
      </c>
      <c r="R76" s="152"/>
    </row>
    <row r="77" spans="1:18" s="12" customFormat="1" ht="30" x14ac:dyDescent="0.25">
      <c r="A77" s="165" t="s">
        <v>58</v>
      </c>
      <c r="B77" s="18">
        <v>6000</v>
      </c>
      <c r="C77" s="28">
        <f t="shared" si="140"/>
        <v>540</v>
      </c>
      <c r="D77" s="28">
        <f t="shared" si="141"/>
        <v>6540</v>
      </c>
      <c r="E77" s="27" t="s">
        <v>272</v>
      </c>
      <c r="F77" s="79">
        <v>0</v>
      </c>
      <c r="G77" s="80">
        <v>1</v>
      </c>
      <c r="H77" s="81">
        <f t="shared" si="142"/>
        <v>0</v>
      </c>
      <c r="I77" s="82">
        <f t="shared" si="143"/>
        <v>0</v>
      </c>
      <c r="J77" s="132">
        <f t="shared" si="144"/>
        <v>0</v>
      </c>
      <c r="K77" s="23">
        <f t="shared" si="145"/>
        <v>0</v>
      </c>
      <c r="L77" s="22">
        <f t="shared" si="146"/>
        <v>6000</v>
      </c>
      <c r="M77" s="24">
        <f t="shared" si="147"/>
        <v>540</v>
      </c>
      <c r="N77" s="23">
        <f t="shared" si="148"/>
        <v>6540</v>
      </c>
      <c r="O77" s="22">
        <f t="shared" si="149"/>
        <v>0</v>
      </c>
      <c r="P77" s="24">
        <f t="shared" si="150"/>
        <v>0</v>
      </c>
      <c r="Q77" s="23">
        <f t="shared" si="151"/>
        <v>0</v>
      </c>
      <c r="R77" s="152"/>
    </row>
    <row r="78" spans="1:18" s="12" customFormat="1" x14ac:dyDescent="0.25">
      <c r="A78" s="175"/>
      <c r="B78" s="13"/>
      <c r="C78" s="13"/>
      <c r="D78" s="13"/>
      <c r="E78" s="27"/>
      <c r="F78" s="14"/>
      <c r="G78" s="77"/>
      <c r="H78" s="77"/>
      <c r="I78" s="53"/>
      <c r="J78" s="83"/>
      <c r="K78" s="65"/>
      <c r="L78" s="53"/>
      <c r="M78" s="27"/>
      <c r="N78" s="54"/>
      <c r="O78" s="53"/>
      <c r="P78" s="27"/>
      <c r="Q78" s="65"/>
      <c r="R78" s="152"/>
    </row>
    <row r="79" spans="1:18" s="120" customFormat="1" ht="30" x14ac:dyDescent="0.25">
      <c r="A79" s="174" t="s">
        <v>15</v>
      </c>
      <c r="B79" s="116">
        <v>4463</v>
      </c>
      <c r="C79" s="100">
        <f>B79*0.09</f>
        <v>401.66999999999996</v>
      </c>
      <c r="D79" s="100">
        <f>C79+B79</f>
        <v>4864.67</v>
      </c>
      <c r="E79" s="27" t="s">
        <v>272</v>
      </c>
      <c r="F79" s="75">
        <v>0</v>
      </c>
      <c r="G79" s="76">
        <v>1</v>
      </c>
      <c r="H79" s="77">
        <f t="shared" si="142"/>
        <v>0</v>
      </c>
      <c r="I79" s="117">
        <f t="shared" si="143"/>
        <v>0</v>
      </c>
      <c r="J79" s="118">
        <f>F79*C79</f>
        <v>0</v>
      </c>
      <c r="K79" s="121">
        <f t="shared" ref="K79:K86" si="152">J79+I79</f>
        <v>0</v>
      </c>
      <c r="L79" s="117">
        <f>G79*B79</f>
        <v>4463</v>
      </c>
      <c r="M79" s="119">
        <f>G79*C79</f>
        <v>401.66999999999996</v>
      </c>
      <c r="N79" s="121">
        <f t="shared" ref="N79:N86" si="153">M79+L79</f>
        <v>4864.67</v>
      </c>
      <c r="O79" s="101">
        <f>B79*H79</f>
        <v>0</v>
      </c>
      <c r="P79" s="6">
        <f>C79*H79</f>
        <v>0</v>
      </c>
      <c r="Q79" s="121">
        <f t="shared" ref="Q79" si="154">P79+O79</f>
        <v>0</v>
      </c>
      <c r="R79" s="149"/>
    </row>
    <row r="80" spans="1:18" s="12" customFormat="1" x14ac:dyDescent="0.25">
      <c r="A80" s="165"/>
      <c r="B80" s="18"/>
      <c r="C80" s="28"/>
      <c r="D80" s="28"/>
      <c r="E80" s="16"/>
      <c r="F80" s="14"/>
      <c r="G80" s="77"/>
      <c r="H80" s="77"/>
      <c r="I80" s="53"/>
      <c r="J80" s="83"/>
      <c r="K80" s="91"/>
      <c r="L80" s="53"/>
      <c r="M80" s="27"/>
      <c r="N80" s="91"/>
      <c r="O80" s="53"/>
      <c r="P80" s="27"/>
      <c r="Q80" s="91"/>
      <c r="R80" s="152"/>
    </row>
    <row r="81" spans="1:18" s="120" customFormat="1" x14ac:dyDescent="0.25">
      <c r="A81" s="174" t="s">
        <v>37</v>
      </c>
      <c r="B81" s="116">
        <f>SUM(B82:B84,B86)</f>
        <v>173470</v>
      </c>
      <c r="C81" s="116">
        <f>B81*0.09</f>
        <v>15612.3</v>
      </c>
      <c r="D81" s="116">
        <f>SUM(B81:C81)</f>
        <v>189082.3</v>
      </c>
      <c r="E81" s="119"/>
      <c r="F81" s="78">
        <f>AVERAGE(F82:F86)</f>
        <v>0</v>
      </c>
      <c r="G81" s="77">
        <v>1</v>
      </c>
      <c r="H81" s="78">
        <f>AVERAGE(H82:H86)</f>
        <v>0</v>
      </c>
      <c r="I81" s="117">
        <f t="shared" ref="I81:P81" si="155">SUM(I82:I86)</f>
        <v>0</v>
      </c>
      <c r="J81" s="118">
        <f t="shared" si="155"/>
        <v>0</v>
      </c>
      <c r="K81" s="121">
        <f t="shared" si="155"/>
        <v>0</v>
      </c>
      <c r="L81" s="117">
        <f t="shared" si="155"/>
        <v>173470</v>
      </c>
      <c r="M81" s="119">
        <f t="shared" si="155"/>
        <v>15612.3</v>
      </c>
      <c r="N81" s="121">
        <f t="shared" si="155"/>
        <v>189082.3</v>
      </c>
      <c r="O81" s="101">
        <f t="shared" si="155"/>
        <v>0</v>
      </c>
      <c r="P81" s="6">
        <f t="shared" si="155"/>
        <v>0</v>
      </c>
      <c r="Q81" s="121">
        <f t="shared" ref="Q81:Q86" si="156">P81+O81</f>
        <v>0</v>
      </c>
      <c r="R81" s="149"/>
    </row>
    <row r="82" spans="1:18" s="12" customFormat="1" ht="30" x14ac:dyDescent="0.25">
      <c r="A82" s="165" t="s">
        <v>106</v>
      </c>
      <c r="B82" s="18">
        <v>100470</v>
      </c>
      <c r="C82" s="28">
        <f t="shared" ref="C82:C86" si="157">B82*0.09</f>
        <v>9042.2999999999993</v>
      </c>
      <c r="D82" s="28">
        <f t="shared" ref="D82:D86" si="158">SUM(B82:C82)</f>
        <v>109512.3</v>
      </c>
      <c r="E82" s="27" t="s">
        <v>272</v>
      </c>
      <c r="F82" s="79">
        <v>0</v>
      </c>
      <c r="G82" s="80">
        <v>1</v>
      </c>
      <c r="H82" s="81">
        <f t="shared" ref="H82:H90" si="159">1-G82-F82</f>
        <v>0</v>
      </c>
      <c r="I82" s="82">
        <f t="shared" ref="I82:I86" si="160">F82*B82</f>
        <v>0</v>
      </c>
      <c r="J82" s="132">
        <f t="shared" ref="J82:J86" si="161">F82*C82</f>
        <v>0</v>
      </c>
      <c r="K82" s="23">
        <f t="shared" si="152"/>
        <v>0</v>
      </c>
      <c r="L82" s="22">
        <f t="shared" ref="L82:L86" si="162">G82*B82</f>
        <v>100470</v>
      </c>
      <c r="M82" s="24">
        <f t="shared" ref="M82:M86" si="163">G82*C82</f>
        <v>9042.2999999999993</v>
      </c>
      <c r="N82" s="23">
        <f t="shared" si="153"/>
        <v>109512.3</v>
      </c>
      <c r="O82" s="22">
        <f t="shared" ref="O82:O86" si="164">H82*B82</f>
        <v>0</v>
      </c>
      <c r="P82" s="24">
        <f t="shared" ref="P82:P86" si="165">H82*C82</f>
        <v>0</v>
      </c>
      <c r="Q82" s="23">
        <f t="shared" si="156"/>
        <v>0</v>
      </c>
      <c r="R82" s="152"/>
    </row>
    <row r="83" spans="1:18" s="12" customFormat="1" ht="30" x14ac:dyDescent="0.25">
      <c r="A83" s="165" t="s">
        <v>60</v>
      </c>
      <c r="B83" s="18">
        <v>28000</v>
      </c>
      <c r="C83" s="28">
        <f t="shared" si="157"/>
        <v>2520</v>
      </c>
      <c r="D83" s="28">
        <f t="shared" si="158"/>
        <v>30520</v>
      </c>
      <c r="E83" s="27" t="s">
        <v>272</v>
      </c>
      <c r="F83" s="79">
        <v>0</v>
      </c>
      <c r="G83" s="80">
        <v>1</v>
      </c>
      <c r="H83" s="81">
        <f t="shared" si="159"/>
        <v>0</v>
      </c>
      <c r="I83" s="82">
        <f t="shared" si="160"/>
        <v>0</v>
      </c>
      <c r="J83" s="132">
        <f t="shared" si="161"/>
        <v>0</v>
      </c>
      <c r="K83" s="23">
        <f t="shared" si="152"/>
        <v>0</v>
      </c>
      <c r="L83" s="22">
        <f t="shared" si="162"/>
        <v>28000</v>
      </c>
      <c r="M83" s="24">
        <f t="shared" si="163"/>
        <v>2520</v>
      </c>
      <c r="N83" s="23">
        <f t="shared" si="153"/>
        <v>30520</v>
      </c>
      <c r="O83" s="22">
        <f t="shared" si="164"/>
        <v>0</v>
      </c>
      <c r="P83" s="24">
        <f t="shared" si="165"/>
        <v>0</v>
      </c>
      <c r="Q83" s="23">
        <f t="shared" si="156"/>
        <v>0</v>
      </c>
      <c r="R83" s="152"/>
    </row>
    <row r="84" spans="1:18" s="12" customFormat="1" ht="30" x14ac:dyDescent="0.25">
      <c r="A84" s="165" t="s">
        <v>61</v>
      </c>
      <c r="B84" s="18">
        <v>2000</v>
      </c>
      <c r="C84" s="28">
        <f t="shared" si="157"/>
        <v>180</v>
      </c>
      <c r="D84" s="28">
        <f t="shared" si="158"/>
        <v>2180</v>
      </c>
      <c r="E84" s="27" t="s">
        <v>272</v>
      </c>
      <c r="F84" s="79">
        <v>0</v>
      </c>
      <c r="G84" s="80">
        <v>1</v>
      </c>
      <c r="H84" s="81">
        <f t="shared" si="159"/>
        <v>0</v>
      </c>
      <c r="I84" s="82">
        <f t="shared" si="160"/>
        <v>0</v>
      </c>
      <c r="J84" s="132">
        <f t="shared" si="161"/>
        <v>0</v>
      </c>
      <c r="K84" s="23">
        <f t="shared" si="152"/>
        <v>0</v>
      </c>
      <c r="L84" s="22">
        <f t="shared" si="162"/>
        <v>2000</v>
      </c>
      <c r="M84" s="24">
        <f t="shared" si="163"/>
        <v>180</v>
      </c>
      <c r="N84" s="23">
        <f t="shared" si="153"/>
        <v>2180</v>
      </c>
      <c r="O84" s="22">
        <f t="shared" si="164"/>
        <v>0</v>
      </c>
      <c r="P84" s="24">
        <f t="shared" si="165"/>
        <v>0</v>
      </c>
      <c r="Q84" s="23">
        <f t="shared" si="156"/>
        <v>0</v>
      </c>
      <c r="R84" s="152"/>
    </row>
    <row r="85" spans="1:18" s="12" customFormat="1" ht="30" x14ac:dyDescent="0.25">
      <c r="A85" s="235" t="s">
        <v>107</v>
      </c>
      <c r="B85" s="18">
        <v>303800</v>
      </c>
      <c r="C85" s="28">
        <f t="shared" si="157"/>
        <v>27342</v>
      </c>
      <c r="D85" s="28">
        <f t="shared" si="158"/>
        <v>331142</v>
      </c>
      <c r="E85" s="27" t="s">
        <v>272</v>
      </c>
      <c r="F85" s="79">
        <v>0</v>
      </c>
      <c r="G85" s="80">
        <v>0</v>
      </c>
      <c r="H85" s="81">
        <v>0</v>
      </c>
      <c r="I85" s="82">
        <f t="shared" si="160"/>
        <v>0</v>
      </c>
      <c r="J85" s="132">
        <f t="shared" si="161"/>
        <v>0</v>
      </c>
      <c r="K85" s="23">
        <f t="shared" si="152"/>
        <v>0</v>
      </c>
      <c r="L85" s="22">
        <f t="shared" si="162"/>
        <v>0</v>
      </c>
      <c r="M85" s="24">
        <f t="shared" si="163"/>
        <v>0</v>
      </c>
      <c r="N85" s="23">
        <f t="shared" si="153"/>
        <v>0</v>
      </c>
      <c r="O85" s="22">
        <f t="shared" si="164"/>
        <v>0</v>
      </c>
      <c r="P85" s="24">
        <f t="shared" si="165"/>
        <v>0</v>
      </c>
      <c r="Q85" s="23">
        <f t="shared" si="156"/>
        <v>0</v>
      </c>
      <c r="R85" s="152"/>
    </row>
    <row r="86" spans="1:18" s="12" customFormat="1" ht="30" x14ac:dyDescent="0.25">
      <c r="A86" s="165" t="s">
        <v>62</v>
      </c>
      <c r="B86" s="18">
        <v>43000</v>
      </c>
      <c r="C86" s="28">
        <f t="shared" si="157"/>
        <v>3870</v>
      </c>
      <c r="D86" s="28">
        <f t="shared" si="158"/>
        <v>46870</v>
      </c>
      <c r="E86" s="27" t="s">
        <v>272</v>
      </c>
      <c r="F86" s="79">
        <v>0</v>
      </c>
      <c r="G86" s="80">
        <v>1</v>
      </c>
      <c r="H86" s="81">
        <f t="shared" si="159"/>
        <v>0</v>
      </c>
      <c r="I86" s="82">
        <f t="shared" si="160"/>
        <v>0</v>
      </c>
      <c r="J86" s="132">
        <f t="shared" si="161"/>
        <v>0</v>
      </c>
      <c r="K86" s="23">
        <f t="shared" si="152"/>
        <v>0</v>
      </c>
      <c r="L86" s="22">
        <f t="shared" si="162"/>
        <v>43000</v>
      </c>
      <c r="M86" s="24">
        <f t="shared" si="163"/>
        <v>3870</v>
      </c>
      <c r="N86" s="23">
        <f t="shared" si="153"/>
        <v>46870</v>
      </c>
      <c r="O86" s="22">
        <f t="shared" si="164"/>
        <v>0</v>
      </c>
      <c r="P86" s="24">
        <f t="shared" si="165"/>
        <v>0</v>
      </c>
      <c r="Q86" s="23">
        <f t="shared" si="156"/>
        <v>0</v>
      </c>
      <c r="R86" s="152"/>
    </row>
    <row r="87" spans="1:18" s="12" customFormat="1" x14ac:dyDescent="0.25">
      <c r="A87" s="175"/>
      <c r="B87" s="13"/>
      <c r="C87" s="13"/>
      <c r="D87" s="13"/>
      <c r="E87" s="27"/>
      <c r="F87" s="14"/>
      <c r="G87" s="77"/>
      <c r="H87" s="77"/>
      <c r="I87" s="53"/>
      <c r="J87" s="83"/>
      <c r="K87" s="65"/>
      <c r="L87" s="53"/>
      <c r="M87" s="27"/>
      <c r="N87" s="54"/>
      <c r="O87" s="53"/>
      <c r="P87" s="27"/>
      <c r="Q87" s="65"/>
      <c r="R87" s="152"/>
    </row>
    <row r="88" spans="1:18" s="99" customFormat="1" ht="30" x14ac:dyDescent="0.25">
      <c r="A88" s="164" t="s">
        <v>30</v>
      </c>
      <c r="B88" s="100">
        <v>0</v>
      </c>
      <c r="C88" s="100">
        <f>B88*0.09</f>
        <v>0</v>
      </c>
      <c r="D88" s="100">
        <f>C88+B88</f>
        <v>0</v>
      </c>
      <c r="E88" s="27" t="s">
        <v>272</v>
      </c>
      <c r="F88" s="51">
        <v>0</v>
      </c>
      <c r="G88" s="76">
        <v>1</v>
      </c>
      <c r="H88" s="77">
        <f t="shared" si="159"/>
        <v>0</v>
      </c>
      <c r="I88" s="117">
        <f t="shared" si="143"/>
        <v>0</v>
      </c>
      <c r="J88" s="118">
        <f>F88*C88</f>
        <v>0</v>
      </c>
      <c r="K88" s="109">
        <f t="shared" ref="K88" si="166">J88+I88</f>
        <v>0</v>
      </c>
      <c r="L88" s="117">
        <f>G88*B88</f>
        <v>0</v>
      </c>
      <c r="M88" s="119">
        <f>G88*C88</f>
        <v>0</v>
      </c>
      <c r="N88" s="109">
        <f t="shared" ref="N88" si="167">M88+L88</f>
        <v>0</v>
      </c>
      <c r="O88" s="101">
        <f>B88*H88</f>
        <v>0</v>
      </c>
      <c r="P88" s="6">
        <f>C88*H88</f>
        <v>0</v>
      </c>
      <c r="Q88" s="109">
        <f t="shared" ref="Q88" si="168">P88+O88</f>
        <v>0</v>
      </c>
      <c r="R88" s="146"/>
    </row>
    <row r="89" spans="1:18" s="35" customFormat="1" x14ac:dyDescent="0.25">
      <c r="A89" s="167"/>
      <c r="B89" s="28"/>
      <c r="C89" s="28"/>
      <c r="D89" s="28"/>
      <c r="E89" s="16"/>
      <c r="F89" s="29"/>
      <c r="G89" s="77"/>
      <c r="H89" s="77"/>
      <c r="I89" s="59"/>
      <c r="J89" s="34"/>
      <c r="K89" s="32"/>
      <c r="L89" s="53"/>
      <c r="M89" s="16"/>
      <c r="N89" s="60"/>
      <c r="O89" s="53"/>
      <c r="P89" s="16"/>
      <c r="Q89" s="32"/>
      <c r="R89" s="147"/>
    </row>
    <row r="90" spans="1:18" s="99" customFormat="1" ht="30" x14ac:dyDescent="0.25">
      <c r="A90" s="166" t="s">
        <v>35</v>
      </c>
      <c r="B90" s="100">
        <v>0</v>
      </c>
      <c r="C90" s="100">
        <f>B90*0.09</f>
        <v>0</v>
      </c>
      <c r="D90" s="100">
        <f>C90+B90</f>
        <v>0</v>
      </c>
      <c r="E90" s="27" t="s">
        <v>272</v>
      </c>
      <c r="F90" s="51">
        <v>0</v>
      </c>
      <c r="G90" s="76">
        <v>1</v>
      </c>
      <c r="H90" s="77">
        <f t="shared" si="159"/>
        <v>0</v>
      </c>
      <c r="I90" s="117">
        <f t="shared" si="143"/>
        <v>0</v>
      </c>
      <c r="J90" s="118">
        <f>F90*C90</f>
        <v>0</v>
      </c>
      <c r="K90" s="109">
        <f t="shared" ref="K90" si="169">J90+I90</f>
        <v>0</v>
      </c>
      <c r="L90" s="117">
        <f>G90*B90</f>
        <v>0</v>
      </c>
      <c r="M90" s="119">
        <f>G90*C90</f>
        <v>0</v>
      </c>
      <c r="N90" s="109">
        <f t="shared" ref="N90" si="170">M90+L90</f>
        <v>0</v>
      </c>
      <c r="O90" s="101">
        <f>B90*H90</f>
        <v>0</v>
      </c>
      <c r="P90" s="6">
        <f>C90*H90</f>
        <v>0</v>
      </c>
      <c r="Q90" s="109">
        <f t="shared" ref="Q90" si="171">P90+O90</f>
        <v>0</v>
      </c>
      <c r="R90" s="146"/>
    </row>
    <row r="91" spans="1:18" s="84" customFormat="1" x14ac:dyDescent="0.25">
      <c r="A91" s="177"/>
      <c r="B91" s="37"/>
      <c r="C91" s="93"/>
      <c r="D91" s="93"/>
      <c r="E91" s="43"/>
      <c r="F91" s="86"/>
      <c r="G91" s="87"/>
      <c r="H91" s="87"/>
      <c r="I91" s="88"/>
      <c r="J91" s="89"/>
      <c r="K91" s="73"/>
      <c r="L91" s="88"/>
      <c r="M91" s="90"/>
      <c r="N91" s="140"/>
      <c r="O91" s="88"/>
      <c r="P91" s="90"/>
      <c r="Q91" s="212"/>
      <c r="R91" s="213"/>
    </row>
    <row r="92" spans="1:18" s="111" customFormat="1" x14ac:dyDescent="0.25">
      <c r="A92" s="169" t="s">
        <v>65</v>
      </c>
      <c r="B92" s="112">
        <f>SUM(B93,B101,B104,B106,B108)</f>
        <v>230972</v>
      </c>
      <c r="C92" s="112">
        <f>B92*0.09</f>
        <v>20787.48</v>
      </c>
      <c r="D92" s="112">
        <f>C92+B92</f>
        <v>251759.48</v>
      </c>
      <c r="E92" s="375"/>
      <c r="F92" s="47">
        <f>AVERAGE(F94:F99,F102,F104,F106,F108)</f>
        <v>0.318</v>
      </c>
      <c r="G92" s="47">
        <f t="shared" ref="G92:H92" si="172">AVERAGE(G94:G99,G102,G104,G106,G108)</f>
        <v>7.6999999999999999E-2</v>
      </c>
      <c r="H92" s="47">
        <f t="shared" si="172"/>
        <v>0.60499999999999998</v>
      </c>
      <c r="I92" s="113">
        <f>SUM(I93,I101,I104,I106,I108)</f>
        <v>74500</v>
      </c>
      <c r="J92" s="114">
        <f t="shared" ref="J92:M92" si="173">SUM(J93,J101,J104,J106,J108)</f>
        <v>6705</v>
      </c>
      <c r="K92" s="114">
        <f>SUM(K93,K101,K104,K106,K108)</f>
        <v>81205</v>
      </c>
      <c r="L92" s="113">
        <f>SUM(L93,L101,L104,L106,L108)</f>
        <v>19250</v>
      </c>
      <c r="M92" s="114">
        <f t="shared" si="173"/>
        <v>1732.5</v>
      </c>
      <c r="N92" s="114">
        <f>SUM(N93,N101,N104,N106,N108)</f>
        <v>20982.5</v>
      </c>
      <c r="O92" s="113">
        <f>SUM(O93,O101,O104,O106,O108)</f>
        <v>137222</v>
      </c>
      <c r="P92" s="114">
        <f t="shared" ref="P92" si="174">SUM(P93,P101,P104,P106,P108)</f>
        <v>12349.98</v>
      </c>
      <c r="Q92" s="114">
        <f>SUM(Q93,Q101,Q104,Q106,Q108)</f>
        <v>149571.97999999998</v>
      </c>
      <c r="R92" s="148"/>
    </row>
    <row r="93" spans="1:18" s="120" customFormat="1" x14ac:dyDescent="0.25">
      <c r="A93" s="174" t="s">
        <v>10</v>
      </c>
      <c r="B93" s="116">
        <f>SUM(B94:B99)</f>
        <v>230972</v>
      </c>
      <c r="C93" s="116">
        <f t="shared" ref="C93:D93" si="175">SUM(C94:C99)</f>
        <v>20787.48</v>
      </c>
      <c r="D93" s="116">
        <f t="shared" si="175"/>
        <v>251759.47999999998</v>
      </c>
      <c r="E93" s="119"/>
      <c r="F93" s="78">
        <f>AVERAGE(F94:F99)</f>
        <v>0.36333333333333334</v>
      </c>
      <c r="G93" s="78">
        <f>AVERAGE(G94:G99)</f>
        <v>0.12833333333333333</v>
      </c>
      <c r="H93" s="78">
        <f>AVERAGE(H94:H99)</f>
        <v>0.5083333333333333</v>
      </c>
      <c r="I93" s="117">
        <f t="shared" ref="I93:Q93" si="176">SUM(I94:I99)</f>
        <v>74500</v>
      </c>
      <c r="J93" s="118">
        <f t="shared" si="176"/>
        <v>6705</v>
      </c>
      <c r="K93" s="121">
        <f t="shared" si="176"/>
        <v>81205</v>
      </c>
      <c r="L93" s="117">
        <f t="shared" si="176"/>
        <v>19250</v>
      </c>
      <c r="M93" s="119">
        <f t="shared" si="176"/>
        <v>1732.5</v>
      </c>
      <c r="N93" s="121">
        <f t="shared" si="176"/>
        <v>20982.5</v>
      </c>
      <c r="O93" s="101">
        <f t="shared" si="176"/>
        <v>137222</v>
      </c>
      <c r="P93" s="6">
        <f t="shared" si="176"/>
        <v>12349.98</v>
      </c>
      <c r="Q93" s="121">
        <f t="shared" si="176"/>
        <v>149571.97999999998</v>
      </c>
      <c r="R93" s="149"/>
    </row>
    <row r="94" spans="1:18" s="12" customFormat="1" x14ac:dyDescent="0.25">
      <c r="A94" s="165" t="s">
        <v>109</v>
      </c>
      <c r="B94" s="18">
        <v>55972</v>
      </c>
      <c r="C94" s="28">
        <f t="shared" ref="C94:C99" si="177">B94*0.09</f>
        <v>5037.4799999999996</v>
      </c>
      <c r="D94" s="28">
        <f t="shared" ref="D94:D99" si="178">SUM(B94:C94)</f>
        <v>61009.479999999996</v>
      </c>
      <c r="E94" s="373" t="s">
        <v>149</v>
      </c>
      <c r="F94" s="79">
        <v>0</v>
      </c>
      <c r="G94" s="94">
        <v>0</v>
      </c>
      <c r="H94" s="95">
        <f>1-G94-F94</f>
        <v>1</v>
      </c>
      <c r="I94" s="82">
        <f t="shared" ref="I94:I99" si="179">F94*B94</f>
        <v>0</v>
      </c>
      <c r="J94" s="132">
        <f t="shared" ref="J94:J99" si="180">F94*C94</f>
        <v>0</v>
      </c>
      <c r="K94" s="23">
        <f t="shared" ref="K94:K99" si="181">J94+I94</f>
        <v>0</v>
      </c>
      <c r="L94" s="22">
        <f t="shared" ref="L94:L99" si="182">G94*B94</f>
        <v>0</v>
      </c>
      <c r="M94" s="24">
        <f t="shared" ref="M94:M99" si="183">G94*C94</f>
        <v>0</v>
      </c>
      <c r="N94" s="23">
        <f t="shared" ref="N94:N99" si="184">M94+L94</f>
        <v>0</v>
      </c>
      <c r="O94" s="22">
        <f t="shared" ref="O94:O99" si="185">H94*B94</f>
        <v>55972</v>
      </c>
      <c r="P94" s="24">
        <f t="shared" ref="P94:P99" si="186">H94*C94</f>
        <v>5037.4799999999996</v>
      </c>
      <c r="Q94" s="23">
        <f t="shared" ref="Q94:Q99" si="187">P94+O94</f>
        <v>61009.479999999996</v>
      </c>
      <c r="R94" s="152"/>
    </row>
    <row r="95" spans="1:18" s="12" customFormat="1" x14ac:dyDescent="0.25">
      <c r="A95" s="165" t="s">
        <v>67</v>
      </c>
      <c r="B95" s="18">
        <v>5000</v>
      </c>
      <c r="C95" s="28">
        <f t="shared" si="177"/>
        <v>450</v>
      </c>
      <c r="D95" s="28">
        <f t="shared" si="178"/>
        <v>5450</v>
      </c>
      <c r="E95" s="373" t="s">
        <v>149</v>
      </c>
      <c r="F95" s="79">
        <v>0</v>
      </c>
      <c r="G95" s="94">
        <v>0</v>
      </c>
      <c r="H95" s="95">
        <f t="shared" ref="H95:H99" si="188">1-G95-F95</f>
        <v>1</v>
      </c>
      <c r="I95" s="82">
        <f t="shared" si="179"/>
        <v>0</v>
      </c>
      <c r="J95" s="132">
        <f t="shared" si="180"/>
        <v>0</v>
      </c>
      <c r="K95" s="23">
        <f t="shared" si="181"/>
        <v>0</v>
      </c>
      <c r="L95" s="22">
        <f t="shared" si="182"/>
        <v>0</v>
      </c>
      <c r="M95" s="24">
        <f t="shared" si="183"/>
        <v>0</v>
      </c>
      <c r="N95" s="23">
        <f t="shared" si="184"/>
        <v>0</v>
      </c>
      <c r="O95" s="22">
        <f t="shared" si="185"/>
        <v>5000</v>
      </c>
      <c r="P95" s="24">
        <f t="shared" si="186"/>
        <v>450</v>
      </c>
      <c r="Q95" s="23">
        <f t="shared" si="187"/>
        <v>5450</v>
      </c>
      <c r="R95" s="152"/>
    </row>
    <row r="96" spans="1:18" s="12" customFormat="1" ht="30" x14ac:dyDescent="0.25">
      <c r="A96" s="165" t="s">
        <v>68</v>
      </c>
      <c r="B96" s="18">
        <v>35000</v>
      </c>
      <c r="C96" s="28">
        <f t="shared" si="177"/>
        <v>3150</v>
      </c>
      <c r="D96" s="28">
        <f t="shared" si="178"/>
        <v>38150</v>
      </c>
      <c r="E96" s="373" t="s">
        <v>272</v>
      </c>
      <c r="F96" s="79">
        <v>1</v>
      </c>
      <c r="G96" s="94">
        <v>0</v>
      </c>
      <c r="H96" s="95">
        <f t="shared" si="188"/>
        <v>0</v>
      </c>
      <c r="I96" s="82">
        <f t="shared" si="179"/>
        <v>35000</v>
      </c>
      <c r="J96" s="132">
        <f t="shared" si="180"/>
        <v>3150</v>
      </c>
      <c r="K96" s="23">
        <f t="shared" si="181"/>
        <v>38150</v>
      </c>
      <c r="L96" s="22">
        <f t="shared" si="182"/>
        <v>0</v>
      </c>
      <c r="M96" s="24">
        <f t="shared" si="183"/>
        <v>0</v>
      </c>
      <c r="N96" s="23">
        <f t="shared" si="184"/>
        <v>0</v>
      </c>
      <c r="O96" s="22">
        <f t="shared" si="185"/>
        <v>0</v>
      </c>
      <c r="P96" s="24">
        <f t="shared" si="186"/>
        <v>0</v>
      </c>
      <c r="Q96" s="23">
        <f t="shared" si="187"/>
        <v>0</v>
      </c>
      <c r="R96" s="152"/>
    </row>
    <row r="97" spans="1:18" s="12" customFormat="1" ht="30" x14ac:dyDescent="0.25">
      <c r="A97" s="165" t="s">
        <v>69</v>
      </c>
      <c r="B97" s="18">
        <v>35000</v>
      </c>
      <c r="C97" s="28">
        <f t="shared" si="177"/>
        <v>3150</v>
      </c>
      <c r="D97" s="28">
        <f t="shared" si="178"/>
        <v>38150</v>
      </c>
      <c r="E97" s="373" t="s">
        <v>272</v>
      </c>
      <c r="F97" s="79">
        <v>1</v>
      </c>
      <c r="G97" s="94">
        <v>0</v>
      </c>
      <c r="H97" s="95">
        <f t="shared" si="188"/>
        <v>0</v>
      </c>
      <c r="I97" s="82">
        <f t="shared" si="179"/>
        <v>35000</v>
      </c>
      <c r="J97" s="132">
        <f t="shared" si="180"/>
        <v>3150</v>
      </c>
      <c r="K97" s="23">
        <f t="shared" si="181"/>
        <v>38150</v>
      </c>
      <c r="L97" s="22">
        <f t="shared" si="182"/>
        <v>0</v>
      </c>
      <c r="M97" s="24">
        <f t="shared" si="183"/>
        <v>0</v>
      </c>
      <c r="N97" s="23">
        <f t="shared" si="184"/>
        <v>0</v>
      </c>
      <c r="O97" s="22">
        <f t="shared" si="185"/>
        <v>0</v>
      </c>
      <c r="P97" s="24">
        <f t="shared" si="186"/>
        <v>0</v>
      </c>
      <c r="Q97" s="23">
        <f t="shared" si="187"/>
        <v>0</v>
      </c>
      <c r="R97" s="152"/>
    </row>
    <row r="98" spans="1:18" s="12" customFormat="1" x14ac:dyDescent="0.25">
      <c r="A98" s="165" t="s">
        <v>70</v>
      </c>
      <c r="B98" s="18">
        <v>75000</v>
      </c>
      <c r="C98" s="28">
        <f t="shared" si="177"/>
        <v>6750</v>
      </c>
      <c r="D98" s="28">
        <f t="shared" si="178"/>
        <v>81750</v>
      </c>
      <c r="E98" s="373" t="s">
        <v>149</v>
      </c>
      <c r="F98" s="79">
        <v>0</v>
      </c>
      <c r="G98" s="94">
        <v>0</v>
      </c>
      <c r="H98" s="95">
        <f t="shared" si="188"/>
        <v>1</v>
      </c>
      <c r="I98" s="82">
        <f t="shared" si="179"/>
        <v>0</v>
      </c>
      <c r="J98" s="132">
        <f t="shared" si="180"/>
        <v>0</v>
      </c>
      <c r="K98" s="23">
        <f t="shared" si="181"/>
        <v>0</v>
      </c>
      <c r="L98" s="22">
        <f t="shared" si="182"/>
        <v>0</v>
      </c>
      <c r="M98" s="24">
        <f t="shared" si="183"/>
        <v>0</v>
      </c>
      <c r="N98" s="23">
        <f t="shared" si="184"/>
        <v>0</v>
      </c>
      <c r="O98" s="22">
        <f t="shared" si="185"/>
        <v>75000</v>
      </c>
      <c r="P98" s="24">
        <f t="shared" si="186"/>
        <v>6750</v>
      </c>
      <c r="Q98" s="23">
        <f t="shared" si="187"/>
        <v>81750</v>
      </c>
      <c r="R98" s="152"/>
    </row>
    <row r="99" spans="1:18" s="12" customFormat="1" ht="30" x14ac:dyDescent="0.25">
      <c r="A99" s="165" t="s">
        <v>71</v>
      </c>
      <c r="B99" s="18">
        <v>25000</v>
      </c>
      <c r="C99" s="28">
        <f t="shared" si="177"/>
        <v>2250</v>
      </c>
      <c r="D99" s="28">
        <f t="shared" si="178"/>
        <v>27250</v>
      </c>
      <c r="E99" s="373" t="s">
        <v>272</v>
      </c>
      <c r="F99" s="79">
        <v>0.18</v>
      </c>
      <c r="G99" s="94">
        <v>0.77</v>
      </c>
      <c r="H99" s="95">
        <f t="shared" si="188"/>
        <v>4.9999999999999989E-2</v>
      </c>
      <c r="I99" s="82">
        <f t="shared" si="179"/>
        <v>4500</v>
      </c>
      <c r="J99" s="132">
        <f t="shared" si="180"/>
        <v>405</v>
      </c>
      <c r="K99" s="23">
        <f t="shared" si="181"/>
        <v>4905</v>
      </c>
      <c r="L99" s="22">
        <f t="shared" si="182"/>
        <v>19250</v>
      </c>
      <c r="M99" s="24">
        <f t="shared" si="183"/>
        <v>1732.5</v>
      </c>
      <c r="N99" s="23">
        <f t="shared" si="184"/>
        <v>20982.5</v>
      </c>
      <c r="O99" s="22">
        <f t="shared" si="185"/>
        <v>1249.9999999999998</v>
      </c>
      <c r="P99" s="24">
        <f t="shared" si="186"/>
        <v>112.49999999999997</v>
      </c>
      <c r="Q99" s="23">
        <f t="shared" si="187"/>
        <v>1362.4999999999998</v>
      </c>
      <c r="R99" s="152"/>
    </row>
    <row r="100" spans="1:18" s="12" customFormat="1" x14ac:dyDescent="0.25">
      <c r="A100" s="175"/>
      <c r="B100" s="13"/>
      <c r="C100" s="13"/>
      <c r="D100" s="13"/>
      <c r="E100" s="27"/>
      <c r="F100" s="14"/>
      <c r="G100" s="25"/>
      <c r="H100" s="25"/>
      <c r="I100" s="26"/>
      <c r="J100" s="83"/>
      <c r="K100" s="65"/>
      <c r="L100" s="26"/>
      <c r="M100" s="27"/>
      <c r="N100" s="54"/>
      <c r="O100" s="26"/>
      <c r="P100" s="27"/>
      <c r="Q100" s="65"/>
      <c r="R100" s="152"/>
    </row>
    <row r="101" spans="1:18" s="120" customFormat="1" x14ac:dyDescent="0.25">
      <c r="A101" s="174" t="s">
        <v>15</v>
      </c>
      <c r="B101" s="116">
        <f>B102</f>
        <v>0</v>
      </c>
      <c r="C101" s="116">
        <f>SUM(C102)</f>
        <v>0</v>
      </c>
      <c r="D101" s="116">
        <f>SUM(D102)</f>
        <v>0</v>
      </c>
      <c r="E101" s="119"/>
      <c r="F101" s="78">
        <f>AVERAGE(F102)</f>
        <v>1</v>
      </c>
      <c r="G101" s="78">
        <f>AVERAGE(G102)</f>
        <v>0</v>
      </c>
      <c r="H101" s="78">
        <f>AVERAGE(H102)</f>
        <v>0</v>
      </c>
      <c r="I101" s="117">
        <f>F101*B101</f>
        <v>0</v>
      </c>
      <c r="J101" s="118">
        <f>F101*C101</f>
        <v>0</v>
      </c>
      <c r="K101" s="109">
        <f t="shared" ref="K101:K102" si="189">J101+I101</f>
        <v>0</v>
      </c>
      <c r="L101" s="117">
        <f>SUM(L102)</f>
        <v>0</v>
      </c>
      <c r="M101" s="119">
        <f>SUM(M102)</f>
        <v>0</v>
      </c>
      <c r="N101" s="109">
        <f>SUM(N102)</f>
        <v>0</v>
      </c>
      <c r="O101" s="101">
        <f>SUM(O102)</f>
        <v>0</v>
      </c>
      <c r="P101" s="6">
        <f>SUM(P102)</f>
        <v>0</v>
      </c>
      <c r="Q101" s="109">
        <f t="shared" ref="Q101:Q102" si="190">P101+O101</f>
        <v>0</v>
      </c>
      <c r="R101" s="149"/>
    </row>
    <row r="102" spans="1:18" s="12" customFormat="1" x14ac:dyDescent="0.25">
      <c r="A102" s="165" t="s">
        <v>134</v>
      </c>
      <c r="B102" s="18">
        <v>0</v>
      </c>
      <c r="C102" s="28">
        <f t="shared" ref="C102" si="191">B102*0.09</f>
        <v>0</v>
      </c>
      <c r="D102" s="28">
        <f t="shared" ref="D102" si="192">SUM(B102:C102)</f>
        <v>0</v>
      </c>
      <c r="E102" s="373" t="s">
        <v>149</v>
      </c>
      <c r="F102" s="79">
        <v>1</v>
      </c>
      <c r="G102" s="94">
        <v>0</v>
      </c>
      <c r="H102" s="95">
        <f>1-G102-F102</f>
        <v>0</v>
      </c>
      <c r="I102" s="82">
        <f t="shared" ref="I102" si="193">F102*B102</f>
        <v>0</v>
      </c>
      <c r="J102" s="132">
        <f t="shared" ref="J102" si="194">F102*C102</f>
        <v>0</v>
      </c>
      <c r="K102" s="23">
        <f t="shared" si="189"/>
        <v>0</v>
      </c>
      <c r="L102" s="22">
        <f t="shared" ref="L102" si="195">G102*B102</f>
        <v>0</v>
      </c>
      <c r="M102" s="24">
        <f t="shared" ref="M102" si="196">G102*C102</f>
        <v>0</v>
      </c>
      <c r="N102" s="23">
        <f t="shared" ref="N102" si="197">M102+L102</f>
        <v>0</v>
      </c>
      <c r="O102" s="22">
        <f t="shared" ref="O102" si="198">H102*B102</f>
        <v>0</v>
      </c>
      <c r="P102" s="24">
        <f t="shared" ref="P102" si="199">H102*C102</f>
        <v>0</v>
      </c>
      <c r="Q102" s="23">
        <f t="shared" si="190"/>
        <v>0</v>
      </c>
      <c r="R102" s="152"/>
    </row>
    <row r="103" spans="1:18" s="12" customFormat="1" x14ac:dyDescent="0.25">
      <c r="A103" s="165"/>
      <c r="B103" s="18"/>
      <c r="C103" s="28"/>
      <c r="D103" s="28"/>
      <c r="E103" s="16"/>
      <c r="F103" s="14"/>
      <c r="G103" s="25"/>
      <c r="H103" s="25"/>
      <c r="I103" s="26"/>
      <c r="J103" s="83"/>
      <c r="K103" s="65"/>
      <c r="L103" s="26"/>
      <c r="M103" s="27"/>
      <c r="N103" s="54"/>
      <c r="O103" s="26"/>
      <c r="P103" s="27"/>
      <c r="Q103" s="65"/>
      <c r="R103" s="152"/>
    </row>
    <row r="104" spans="1:18" s="120" customFormat="1" x14ac:dyDescent="0.25">
      <c r="A104" s="174" t="s">
        <v>37</v>
      </c>
      <c r="B104" s="116">
        <v>0</v>
      </c>
      <c r="C104" s="116">
        <f>B104*0.09</f>
        <v>0</v>
      </c>
      <c r="D104" s="116">
        <f>SUM(B104:C104)</f>
        <v>0</v>
      </c>
      <c r="E104" s="373" t="s">
        <v>149</v>
      </c>
      <c r="F104" s="51">
        <v>0</v>
      </c>
      <c r="G104" s="52">
        <v>0</v>
      </c>
      <c r="H104" s="25">
        <f>1-G104-F104</f>
        <v>1</v>
      </c>
      <c r="I104" s="117">
        <f>F104*B104</f>
        <v>0</v>
      </c>
      <c r="J104" s="118">
        <f>F104*C104</f>
        <v>0</v>
      </c>
      <c r="K104" s="109">
        <f t="shared" ref="K104" si="200">J104+I104</f>
        <v>0</v>
      </c>
      <c r="L104" s="117">
        <f>G104*B104</f>
        <v>0</v>
      </c>
      <c r="M104" s="119">
        <f>G104*C104</f>
        <v>0</v>
      </c>
      <c r="N104" s="109">
        <f t="shared" ref="N104" si="201">M104+L104</f>
        <v>0</v>
      </c>
      <c r="O104" s="101">
        <f>B104*H104</f>
        <v>0</v>
      </c>
      <c r="P104" s="6">
        <f>C104*H104</f>
        <v>0</v>
      </c>
      <c r="Q104" s="109">
        <f t="shared" ref="Q104" si="202">P104+O104</f>
        <v>0</v>
      </c>
      <c r="R104" s="149"/>
    </row>
    <row r="105" spans="1:18" s="12" customFormat="1" x14ac:dyDescent="0.25">
      <c r="A105" s="175"/>
      <c r="B105" s="13"/>
      <c r="C105" s="13"/>
      <c r="D105" s="13"/>
      <c r="E105" s="27"/>
      <c r="F105" s="14"/>
      <c r="G105" s="25"/>
      <c r="H105" s="25"/>
      <c r="I105" s="26"/>
      <c r="J105" s="83"/>
      <c r="K105" s="65"/>
      <c r="L105" s="26"/>
      <c r="M105" s="27"/>
      <c r="N105" s="54"/>
      <c r="O105" s="26"/>
      <c r="P105" s="27"/>
      <c r="Q105" s="65"/>
      <c r="R105" s="152"/>
    </row>
    <row r="106" spans="1:18" s="99" customFormat="1" x14ac:dyDescent="0.25">
      <c r="A106" s="164" t="s">
        <v>30</v>
      </c>
      <c r="B106" s="100">
        <v>0</v>
      </c>
      <c r="C106" s="100">
        <f>B106*0.09</f>
        <v>0</v>
      </c>
      <c r="D106" s="100">
        <f>C106+B106</f>
        <v>0</v>
      </c>
      <c r="E106" s="373" t="s">
        <v>149</v>
      </c>
      <c r="F106" s="51">
        <v>0</v>
      </c>
      <c r="G106" s="52">
        <v>0</v>
      </c>
      <c r="H106" s="25">
        <f>1-G106-F106</f>
        <v>1</v>
      </c>
      <c r="I106" s="117">
        <f>F106*B106</f>
        <v>0</v>
      </c>
      <c r="J106" s="118">
        <f>F106*C106</f>
        <v>0</v>
      </c>
      <c r="K106" s="109">
        <f t="shared" ref="K106" si="203">J106+I106</f>
        <v>0</v>
      </c>
      <c r="L106" s="117">
        <f>G106*B106</f>
        <v>0</v>
      </c>
      <c r="M106" s="119">
        <f>G106*C106</f>
        <v>0</v>
      </c>
      <c r="N106" s="109">
        <f t="shared" ref="N106" si="204">M106+L106</f>
        <v>0</v>
      </c>
      <c r="O106" s="101">
        <f>B106*H106</f>
        <v>0</v>
      </c>
      <c r="P106" s="6">
        <f>C106*H106</f>
        <v>0</v>
      </c>
      <c r="Q106" s="109">
        <f t="shared" ref="Q106" si="205">P106+O106</f>
        <v>0</v>
      </c>
      <c r="R106" s="146"/>
    </row>
    <row r="107" spans="1:18" s="35" customFormat="1" x14ac:dyDescent="0.25">
      <c r="A107" s="167"/>
      <c r="B107" s="28"/>
      <c r="C107" s="28"/>
      <c r="D107" s="28"/>
      <c r="E107" s="16"/>
      <c r="F107" s="29"/>
      <c r="G107" s="30"/>
      <c r="H107" s="30"/>
      <c r="I107" s="15"/>
      <c r="J107" s="34"/>
      <c r="K107" s="32"/>
      <c r="L107" s="15"/>
      <c r="M107" s="16"/>
      <c r="N107" s="60"/>
      <c r="O107" s="15"/>
      <c r="P107" s="16"/>
      <c r="Q107" s="32"/>
      <c r="R107" s="147"/>
    </row>
    <row r="108" spans="1:18" s="99" customFormat="1" x14ac:dyDescent="0.25">
      <c r="A108" s="166" t="s">
        <v>35</v>
      </c>
      <c r="B108" s="100">
        <v>0</v>
      </c>
      <c r="C108" s="100">
        <f>B108*0.09</f>
        <v>0</v>
      </c>
      <c r="D108" s="100">
        <f>C108+B108</f>
        <v>0</v>
      </c>
      <c r="E108" s="373" t="s">
        <v>149</v>
      </c>
      <c r="F108" s="51">
        <v>0</v>
      </c>
      <c r="G108" s="52">
        <v>0</v>
      </c>
      <c r="H108" s="25">
        <f>1-G108-F108</f>
        <v>1</v>
      </c>
      <c r="I108" s="117">
        <f>F108*B108</f>
        <v>0</v>
      </c>
      <c r="J108" s="118">
        <f>F108*C108</f>
        <v>0</v>
      </c>
      <c r="K108" s="109">
        <f t="shared" ref="K108" si="206">J108+I108</f>
        <v>0</v>
      </c>
      <c r="L108" s="117">
        <f>G108*B108</f>
        <v>0</v>
      </c>
      <c r="M108" s="119">
        <f>G108*C108</f>
        <v>0</v>
      </c>
      <c r="N108" s="109">
        <f t="shared" ref="N108" si="207">M108+L108</f>
        <v>0</v>
      </c>
      <c r="O108" s="101">
        <f>B108*H108</f>
        <v>0</v>
      </c>
      <c r="P108" s="6">
        <f>C108*H108</f>
        <v>0</v>
      </c>
      <c r="Q108" s="109">
        <f t="shared" ref="Q108" si="208">P108+O108</f>
        <v>0</v>
      </c>
      <c r="R108" s="146"/>
    </row>
    <row r="109" spans="1:18" s="84" customFormat="1" x14ac:dyDescent="0.25">
      <c r="A109" s="176"/>
      <c r="B109" s="85"/>
      <c r="C109" s="85"/>
      <c r="D109" s="85"/>
      <c r="E109" s="90"/>
      <c r="F109" s="86"/>
      <c r="G109" s="87"/>
      <c r="H109" s="87"/>
      <c r="I109" s="88"/>
      <c r="J109" s="125"/>
      <c r="K109" s="73"/>
      <c r="L109" s="88"/>
      <c r="M109" s="127"/>
      <c r="N109" s="140"/>
      <c r="O109" s="88"/>
      <c r="P109" s="127"/>
      <c r="Q109" s="212"/>
      <c r="R109" s="213"/>
    </row>
    <row r="110" spans="1:18" s="111" customFormat="1" x14ac:dyDescent="0.25">
      <c r="A110" s="169" t="s">
        <v>72</v>
      </c>
      <c r="B110" s="112">
        <f>SUM(B111,B116,B118,B120,B122)</f>
        <v>33000</v>
      </c>
      <c r="C110" s="112">
        <f>B110*0.09</f>
        <v>2970</v>
      </c>
      <c r="D110" s="112">
        <f>SUM(B110:C110)</f>
        <v>35970</v>
      </c>
      <c r="E110" s="375"/>
      <c r="F110" s="47">
        <f>AVERAGE(F112:F114,F116,F118,F120,F122)</f>
        <v>0</v>
      </c>
      <c r="G110" s="47">
        <f t="shared" ref="G110:H110" si="209">AVERAGE(G112:G114,G116,G118,G120,G122)</f>
        <v>0</v>
      </c>
      <c r="H110" s="47">
        <f t="shared" si="209"/>
        <v>1</v>
      </c>
      <c r="I110" s="113">
        <f>SUM(I111,I116,I118,I120,I122)</f>
        <v>0</v>
      </c>
      <c r="J110" s="126">
        <f t="shared" ref="J110:Q110" si="210">SUM(J111,J116,J118,J120,J122)</f>
        <v>0</v>
      </c>
      <c r="K110" s="182">
        <f t="shared" si="210"/>
        <v>0</v>
      </c>
      <c r="L110" s="113">
        <f t="shared" si="210"/>
        <v>0</v>
      </c>
      <c r="M110" s="126">
        <f t="shared" si="210"/>
        <v>0</v>
      </c>
      <c r="N110" s="182">
        <f t="shared" si="210"/>
        <v>0</v>
      </c>
      <c r="O110" s="113">
        <f t="shared" si="210"/>
        <v>33000</v>
      </c>
      <c r="P110" s="126">
        <f t="shared" si="210"/>
        <v>2970</v>
      </c>
      <c r="Q110" s="182">
        <f t="shared" si="210"/>
        <v>35970</v>
      </c>
      <c r="R110" s="148"/>
    </row>
    <row r="111" spans="1:18" s="120" customFormat="1" x14ac:dyDescent="0.25">
      <c r="A111" s="174" t="s">
        <v>10</v>
      </c>
      <c r="B111" s="116">
        <f>SUM(B112:B114)</f>
        <v>33000</v>
      </c>
      <c r="C111" s="116">
        <f>SUM(C112:C114)</f>
        <v>2970</v>
      </c>
      <c r="D111" s="116">
        <f>SUM(D112:D114)</f>
        <v>35970</v>
      </c>
      <c r="E111" s="119"/>
      <c r="F111" s="78">
        <f>AVERAGE(F112:F114)</f>
        <v>0</v>
      </c>
      <c r="G111" s="78">
        <f>AVERAGE(G112:G114)</f>
        <v>0</v>
      </c>
      <c r="H111" s="78">
        <f>AVERAGE(H112:H114)</f>
        <v>1</v>
      </c>
      <c r="I111" s="117">
        <f t="shared" ref="I111:Q111" si="211">SUM(I112:I114)</f>
        <v>0</v>
      </c>
      <c r="J111" s="118">
        <f t="shared" si="211"/>
        <v>0</v>
      </c>
      <c r="K111" s="121">
        <f t="shared" si="211"/>
        <v>0</v>
      </c>
      <c r="L111" s="117">
        <f t="shared" si="211"/>
        <v>0</v>
      </c>
      <c r="M111" s="119">
        <f t="shared" si="211"/>
        <v>0</v>
      </c>
      <c r="N111" s="121">
        <f t="shared" si="211"/>
        <v>0</v>
      </c>
      <c r="O111" s="101">
        <f t="shared" si="211"/>
        <v>33000</v>
      </c>
      <c r="P111" s="6">
        <f t="shared" si="211"/>
        <v>2970</v>
      </c>
      <c r="Q111" s="121">
        <f t="shared" si="211"/>
        <v>35970</v>
      </c>
      <c r="R111" s="149"/>
    </row>
    <row r="112" spans="1:18" s="12" customFormat="1" x14ac:dyDescent="0.25">
      <c r="A112" s="165" t="s">
        <v>73</v>
      </c>
      <c r="B112" s="18">
        <v>12000</v>
      </c>
      <c r="C112" s="28">
        <f t="shared" ref="C112:C114" si="212">B112*0.09</f>
        <v>1080</v>
      </c>
      <c r="D112" s="28">
        <f t="shared" ref="D112:D114" si="213">SUM(B112:C112)</f>
        <v>13080</v>
      </c>
      <c r="E112" s="373" t="s">
        <v>149</v>
      </c>
      <c r="F112" s="79">
        <v>0</v>
      </c>
      <c r="G112" s="94">
        <v>0</v>
      </c>
      <c r="H112" s="95">
        <f>1-G112-F112</f>
        <v>1</v>
      </c>
      <c r="I112" s="82">
        <f t="shared" ref="I112:I114" si="214">F112*B112</f>
        <v>0</v>
      </c>
      <c r="J112" s="132">
        <f t="shared" ref="J112:J114" si="215">F112*C112</f>
        <v>0</v>
      </c>
      <c r="K112" s="23">
        <f t="shared" ref="K112:K114" si="216">J112+I112</f>
        <v>0</v>
      </c>
      <c r="L112" s="22">
        <f t="shared" ref="L112:L114" si="217">G112*B112</f>
        <v>0</v>
      </c>
      <c r="M112" s="24">
        <f t="shared" ref="M112:M114" si="218">G112*C112</f>
        <v>0</v>
      </c>
      <c r="N112" s="23">
        <f t="shared" ref="N112:N114" si="219">M112+L112</f>
        <v>0</v>
      </c>
      <c r="O112" s="22">
        <f t="shared" ref="O112:O114" si="220">H112*B112</f>
        <v>12000</v>
      </c>
      <c r="P112" s="24">
        <f t="shared" ref="P112:P114" si="221">H112*C112</f>
        <v>1080</v>
      </c>
      <c r="Q112" s="23">
        <f t="shared" ref="Q112:Q114" si="222">P112+O112</f>
        <v>13080</v>
      </c>
      <c r="R112" s="152"/>
    </row>
    <row r="113" spans="1:18" s="12" customFormat="1" x14ac:dyDescent="0.25">
      <c r="A113" s="165" t="s">
        <v>75</v>
      </c>
      <c r="B113" s="18">
        <v>9000</v>
      </c>
      <c r="C113" s="28">
        <f t="shared" si="212"/>
        <v>810</v>
      </c>
      <c r="D113" s="28">
        <f t="shared" si="213"/>
        <v>9810</v>
      </c>
      <c r="E113" s="373" t="s">
        <v>149</v>
      </c>
      <c r="F113" s="79">
        <v>0</v>
      </c>
      <c r="G113" s="94">
        <v>0</v>
      </c>
      <c r="H113" s="95">
        <f t="shared" ref="H113:H122" si="223">1-G113-F113</f>
        <v>1</v>
      </c>
      <c r="I113" s="82">
        <f t="shared" si="214"/>
        <v>0</v>
      </c>
      <c r="J113" s="132">
        <f t="shared" si="215"/>
        <v>0</v>
      </c>
      <c r="K113" s="23">
        <f t="shared" si="216"/>
        <v>0</v>
      </c>
      <c r="L113" s="22">
        <f t="shared" si="217"/>
        <v>0</v>
      </c>
      <c r="M113" s="24">
        <f t="shared" si="218"/>
        <v>0</v>
      </c>
      <c r="N113" s="23">
        <f t="shared" si="219"/>
        <v>0</v>
      </c>
      <c r="O113" s="22">
        <f t="shared" si="220"/>
        <v>9000</v>
      </c>
      <c r="P113" s="24">
        <f t="shared" si="221"/>
        <v>810</v>
      </c>
      <c r="Q113" s="23">
        <f t="shared" si="222"/>
        <v>9810</v>
      </c>
      <c r="R113" s="152"/>
    </row>
    <row r="114" spans="1:18" s="12" customFormat="1" x14ac:dyDescent="0.25">
      <c r="A114" s="165" t="s">
        <v>76</v>
      </c>
      <c r="B114" s="18">
        <v>12000</v>
      </c>
      <c r="C114" s="28">
        <f t="shared" si="212"/>
        <v>1080</v>
      </c>
      <c r="D114" s="28">
        <f t="shared" si="213"/>
        <v>13080</v>
      </c>
      <c r="E114" s="373" t="s">
        <v>149</v>
      </c>
      <c r="F114" s="79">
        <v>0</v>
      </c>
      <c r="G114" s="94">
        <v>0</v>
      </c>
      <c r="H114" s="95">
        <f t="shared" si="223"/>
        <v>1</v>
      </c>
      <c r="I114" s="82">
        <f t="shared" si="214"/>
        <v>0</v>
      </c>
      <c r="J114" s="132">
        <f t="shared" si="215"/>
        <v>0</v>
      </c>
      <c r="K114" s="23">
        <f t="shared" si="216"/>
        <v>0</v>
      </c>
      <c r="L114" s="22">
        <f t="shared" si="217"/>
        <v>0</v>
      </c>
      <c r="M114" s="24">
        <f t="shared" si="218"/>
        <v>0</v>
      </c>
      <c r="N114" s="23">
        <f t="shared" si="219"/>
        <v>0</v>
      </c>
      <c r="O114" s="22">
        <f t="shared" si="220"/>
        <v>12000</v>
      </c>
      <c r="P114" s="24">
        <f t="shared" si="221"/>
        <v>1080</v>
      </c>
      <c r="Q114" s="23">
        <f t="shared" si="222"/>
        <v>13080</v>
      </c>
      <c r="R114" s="152"/>
    </row>
    <row r="115" spans="1:18" s="12" customFormat="1" x14ac:dyDescent="0.25">
      <c r="A115" s="175"/>
      <c r="B115" s="13"/>
      <c r="C115" s="13"/>
      <c r="D115" s="13"/>
      <c r="E115" s="27"/>
      <c r="F115" s="14"/>
      <c r="G115" s="25"/>
      <c r="H115" s="25"/>
      <c r="I115" s="26"/>
      <c r="J115" s="83"/>
      <c r="K115" s="65"/>
      <c r="L115" s="26"/>
      <c r="M115" s="27"/>
      <c r="N115" s="54"/>
      <c r="O115" s="26"/>
      <c r="P115" s="27"/>
      <c r="Q115" s="65"/>
      <c r="R115" s="152"/>
    </row>
    <row r="116" spans="1:18" s="120" customFormat="1" x14ac:dyDescent="0.25">
      <c r="A116" s="174" t="s">
        <v>15</v>
      </c>
      <c r="B116" s="116">
        <v>0</v>
      </c>
      <c r="C116" s="116">
        <v>0</v>
      </c>
      <c r="D116" s="116">
        <f>C116+B116</f>
        <v>0</v>
      </c>
      <c r="E116" s="373" t="s">
        <v>149</v>
      </c>
      <c r="F116" s="51">
        <v>0</v>
      </c>
      <c r="G116" s="52">
        <v>0</v>
      </c>
      <c r="H116" s="25">
        <f t="shared" si="223"/>
        <v>1</v>
      </c>
      <c r="I116" s="117">
        <f>F116*B116</f>
        <v>0</v>
      </c>
      <c r="J116" s="118">
        <f>F116*C116</f>
        <v>0</v>
      </c>
      <c r="K116" s="109">
        <f t="shared" ref="K116" si="224">J116+I116</f>
        <v>0</v>
      </c>
      <c r="L116" s="117">
        <f>G116*B116</f>
        <v>0</v>
      </c>
      <c r="M116" s="119">
        <f>G116*C116</f>
        <v>0</v>
      </c>
      <c r="N116" s="109">
        <f t="shared" ref="N116" si="225">M116+L116</f>
        <v>0</v>
      </c>
      <c r="O116" s="101">
        <f>B116*H116</f>
        <v>0</v>
      </c>
      <c r="P116" s="6">
        <f>C116*H116</f>
        <v>0</v>
      </c>
      <c r="Q116" s="109">
        <f t="shared" ref="Q116" si="226">P116+O116</f>
        <v>0</v>
      </c>
      <c r="R116" s="149"/>
    </row>
    <row r="117" spans="1:18" s="12" customFormat="1" x14ac:dyDescent="0.25">
      <c r="A117" s="178"/>
      <c r="B117" s="13"/>
      <c r="C117" s="13"/>
      <c r="D117" s="13"/>
      <c r="E117" s="27"/>
      <c r="F117" s="14"/>
      <c r="G117" s="25"/>
      <c r="H117" s="25"/>
      <c r="I117" s="26"/>
      <c r="J117" s="83"/>
      <c r="K117" s="65"/>
      <c r="L117" s="26"/>
      <c r="M117" s="27"/>
      <c r="N117" s="54"/>
      <c r="O117" s="26"/>
      <c r="P117" s="27"/>
      <c r="Q117" s="65"/>
      <c r="R117" s="152"/>
    </row>
    <row r="118" spans="1:18" s="120" customFormat="1" x14ac:dyDescent="0.25">
      <c r="A118" s="174" t="s">
        <v>37</v>
      </c>
      <c r="B118" s="116">
        <v>0</v>
      </c>
      <c r="C118" s="116">
        <f>B118*0.09</f>
        <v>0</v>
      </c>
      <c r="D118" s="116">
        <f>SUM(B118:C118)</f>
        <v>0</v>
      </c>
      <c r="E118" s="373" t="s">
        <v>149</v>
      </c>
      <c r="F118" s="51">
        <v>0</v>
      </c>
      <c r="G118" s="52">
        <v>0</v>
      </c>
      <c r="H118" s="25">
        <f t="shared" si="223"/>
        <v>1</v>
      </c>
      <c r="I118" s="117">
        <f>F118*B118</f>
        <v>0</v>
      </c>
      <c r="J118" s="118">
        <f>F118*C118</f>
        <v>0</v>
      </c>
      <c r="K118" s="109">
        <f t="shared" ref="K118" si="227">J118+I118</f>
        <v>0</v>
      </c>
      <c r="L118" s="117">
        <f>G118*B118</f>
        <v>0</v>
      </c>
      <c r="M118" s="119">
        <f>G118*C118</f>
        <v>0</v>
      </c>
      <c r="N118" s="109">
        <f t="shared" ref="N118" si="228">M118+L118</f>
        <v>0</v>
      </c>
      <c r="O118" s="101">
        <f>B118*H118</f>
        <v>0</v>
      </c>
      <c r="P118" s="6">
        <f>C118*H118</f>
        <v>0</v>
      </c>
      <c r="Q118" s="109">
        <f t="shared" ref="Q118" si="229">P118+O118</f>
        <v>0</v>
      </c>
      <c r="R118" s="149"/>
    </row>
    <row r="119" spans="1:18" s="12" customFormat="1" x14ac:dyDescent="0.25">
      <c r="A119" s="175"/>
      <c r="B119" s="13"/>
      <c r="C119" s="13"/>
      <c r="D119" s="13"/>
      <c r="E119" s="27"/>
      <c r="F119" s="14"/>
      <c r="G119" s="25"/>
      <c r="H119" s="25"/>
      <c r="I119" s="26"/>
      <c r="J119" s="83"/>
      <c r="K119" s="65"/>
      <c r="L119" s="26"/>
      <c r="M119" s="27"/>
      <c r="N119" s="54"/>
      <c r="O119" s="26"/>
      <c r="P119" s="27"/>
      <c r="Q119" s="65"/>
      <c r="R119" s="152"/>
    </row>
    <row r="120" spans="1:18" s="99" customFormat="1" x14ac:dyDescent="0.25">
      <c r="A120" s="164" t="s">
        <v>30</v>
      </c>
      <c r="B120" s="100">
        <v>0</v>
      </c>
      <c r="C120" s="100">
        <f>B120*0.09</f>
        <v>0</v>
      </c>
      <c r="D120" s="100">
        <f>C120+B120</f>
        <v>0</v>
      </c>
      <c r="E120" s="373" t="s">
        <v>149</v>
      </c>
      <c r="F120" s="51">
        <v>0</v>
      </c>
      <c r="G120" s="52">
        <v>0</v>
      </c>
      <c r="H120" s="25">
        <f t="shared" si="223"/>
        <v>1</v>
      </c>
      <c r="I120" s="117">
        <f>F120*B120</f>
        <v>0</v>
      </c>
      <c r="J120" s="118">
        <f>F120*C120</f>
        <v>0</v>
      </c>
      <c r="K120" s="109">
        <f t="shared" ref="K120" si="230">J120+I120</f>
        <v>0</v>
      </c>
      <c r="L120" s="117">
        <f>G120*B120</f>
        <v>0</v>
      </c>
      <c r="M120" s="119">
        <f>G120*C120</f>
        <v>0</v>
      </c>
      <c r="N120" s="109">
        <f t="shared" ref="N120" si="231">M120+L120</f>
        <v>0</v>
      </c>
      <c r="O120" s="101">
        <f>B120*H120</f>
        <v>0</v>
      </c>
      <c r="P120" s="6">
        <f>C120*H120</f>
        <v>0</v>
      </c>
      <c r="Q120" s="109">
        <f t="shared" ref="Q120" si="232">P120+O120</f>
        <v>0</v>
      </c>
      <c r="R120" s="146"/>
    </row>
    <row r="121" spans="1:18" s="12" customFormat="1" x14ac:dyDescent="0.25">
      <c r="A121" s="178"/>
      <c r="B121" s="13"/>
      <c r="C121" s="13"/>
      <c r="D121" s="13"/>
      <c r="E121" s="27"/>
      <c r="F121" s="14"/>
      <c r="G121" s="25"/>
      <c r="H121" s="25"/>
      <c r="I121" s="26"/>
      <c r="J121" s="83"/>
      <c r="K121" s="65"/>
      <c r="L121" s="26"/>
      <c r="M121" s="27"/>
      <c r="N121" s="54"/>
      <c r="O121" s="26"/>
      <c r="P121" s="27"/>
      <c r="Q121" s="65"/>
      <c r="R121" s="152"/>
    </row>
    <row r="122" spans="1:18" s="99" customFormat="1" x14ac:dyDescent="0.25">
      <c r="A122" s="166" t="s">
        <v>35</v>
      </c>
      <c r="B122" s="100">
        <v>0</v>
      </c>
      <c r="C122" s="100">
        <f>B122*0.09</f>
        <v>0</v>
      </c>
      <c r="D122" s="100">
        <f>C122+B122</f>
        <v>0</v>
      </c>
      <c r="E122" s="373" t="s">
        <v>149</v>
      </c>
      <c r="F122" s="51">
        <v>0</v>
      </c>
      <c r="G122" s="52">
        <v>0</v>
      </c>
      <c r="H122" s="25">
        <f t="shared" si="223"/>
        <v>1</v>
      </c>
      <c r="I122" s="117">
        <f>F122*B122</f>
        <v>0</v>
      </c>
      <c r="J122" s="118">
        <f>F122*C122</f>
        <v>0</v>
      </c>
      <c r="K122" s="109">
        <f t="shared" ref="K122" si="233">J122+I122</f>
        <v>0</v>
      </c>
      <c r="L122" s="117">
        <f>G122*B122</f>
        <v>0</v>
      </c>
      <c r="M122" s="119">
        <f>G122*C122</f>
        <v>0</v>
      </c>
      <c r="N122" s="109">
        <f t="shared" ref="N122" si="234">M122+L122</f>
        <v>0</v>
      </c>
      <c r="O122" s="101">
        <f>B122*H122</f>
        <v>0</v>
      </c>
      <c r="P122" s="6">
        <f>C122*H122</f>
        <v>0</v>
      </c>
      <c r="Q122" s="109">
        <f t="shared" ref="Q122" si="235">P122+O122</f>
        <v>0</v>
      </c>
      <c r="R122" s="146"/>
    </row>
    <row r="123" spans="1:18" s="84" customFormat="1" x14ac:dyDescent="0.25">
      <c r="A123" s="176"/>
      <c r="B123" s="85"/>
      <c r="C123" s="85"/>
      <c r="D123" s="85"/>
      <c r="E123" s="90"/>
      <c r="F123" s="86"/>
      <c r="G123" s="87"/>
      <c r="H123" s="87"/>
      <c r="I123" s="88"/>
      <c r="J123" s="89"/>
      <c r="K123" s="73"/>
      <c r="L123" s="88"/>
      <c r="M123" s="90"/>
      <c r="N123" s="140"/>
      <c r="O123" s="88"/>
      <c r="P123" s="90"/>
      <c r="Q123" s="212"/>
      <c r="R123" s="213"/>
    </row>
    <row r="124" spans="1:18" s="111" customFormat="1" x14ac:dyDescent="0.25">
      <c r="A124" s="169" t="s">
        <v>77</v>
      </c>
      <c r="B124" s="112">
        <f>SUM(B125,B128,B130,B133,B135)</f>
        <v>161740</v>
      </c>
      <c r="C124" s="112">
        <f>B124*0.09</f>
        <v>14556.6</v>
      </c>
      <c r="D124" s="112">
        <f>SUM(B124:C124)</f>
        <v>176296.6</v>
      </c>
      <c r="E124" s="375"/>
      <c r="F124" s="47">
        <f>AVERAGE(F126,F128,F131,F133,F135)</f>
        <v>0</v>
      </c>
      <c r="G124" s="47">
        <f t="shared" ref="G124:H124" si="236">AVERAGE(G126,G128,G131,G133,G135)</f>
        <v>0</v>
      </c>
      <c r="H124" s="47">
        <f t="shared" si="236"/>
        <v>1</v>
      </c>
      <c r="I124" s="113">
        <f>SUM(I125,I128,I130,I133,I135)</f>
        <v>0</v>
      </c>
      <c r="J124" s="114">
        <f>SUM(J125,J128,J130,J133,J135)</f>
        <v>0</v>
      </c>
      <c r="K124" s="114">
        <f>SUM(K125,K128,K130,K133,K135)</f>
        <v>0</v>
      </c>
      <c r="L124" s="113">
        <f t="shared" ref="L124:Q124" si="237">SUM(L125,L128,L130,L133,L135)</f>
        <v>0</v>
      </c>
      <c r="M124" s="114">
        <f t="shared" si="237"/>
        <v>0</v>
      </c>
      <c r="N124" s="114">
        <f t="shared" si="237"/>
        <v>0</v>
      </c>
      <c r="O124" s="113">
        <f t="shared" si="237"/>
        <v>161740</v>
      </c>
      <c r="P124" s="114">
        <f t="shared" si="237"/>
        <v>14556.599999999999</v>
      </c>
      <c r="Q124" s="114">
        <f t="shared" si="237"/>
        <v>176296.6</v>
      </c>
      <c r="R124" s="148"/>
    </row>
    <row r="125" spans="1:18" s="120" customFormat="1" x14ac:dyDescent="0.25">
      <c r="A125" s="174" t="s">
        <v>10</v>
      </c>
      <c r="B125" s="116">
        <f>SUM(B126:B126)</f>
        <v>118983</v>
      </c>
      <c r="C125" s="116">
        <f>SUM(C126:C126)</f>
        <v>10708.47</v>
      </c>
      <c r="D125" s="116">
        <f>SUM(D126:D126)</f>
        <v>129691.47</v>
      </c>
      <c r="E125" s="119"/>
      <c r="F125" s="78">
        <f>AVERAGE(F126)</f>
        <v>0</v>
      </c>
      <c r="G125" s="78">
        <f t="shared" ref="G125:H125" si="238">AVERAGE(G126)</f>
        <v>0</v>
      </c>
      <c r="H125" s="97">
        <f t="shared" si="238"/>
        <v>1</v>
      </c>
      <c r="I125" s="117">
        <f>SUM(I126)</f>
        <v>0</v>
      </c>
      <c r="J125" s="118">
        <f>SUM(J126)</f>
        <v>0</v>
      </c>
      <c r="K125" s="109">
        <f t="shared" ref="K125:K126" si="239">J125+I125</f>
        <v>0</v>
      </c>
      <c r="L125" s="117">
        <f>SUM(L126)</f>
        <v>0</v>
      </c>
      <c r="M125" s="119">
        <f>SUM(M126)</f>
        <v>0</v>
      </c>
      <c r="N125" s="109">
        <f t="shared" ref="N125:N126" si="240">M125+L125</f>
        <v>0</v>
      </c>
      <c r="O125" s="101">
        <f>SUM(O126)</f>
        <v>118983</v>
      </c>
      <c r="P125" s="6">
        <f>SUM(P126)</f>
        <v>10708.47</v>
      </c>
      <c r="Q125" s="109">
        <f t="shared" ref="Q125:Q126" si="241">P125+O125</f>
        <v>129691.47</v>
      </c>
      <c r="R125" s="149"/>
    </row>
    <row r="126" spans="1:18" s="12" customFormat="1" ht="30" x14ac:dyDescent="0.25">
      <c r="A126" s="165" t="s">
        <v>135</v>
      </c>
      <c r="B126" s="18">
        <v>118983</v>
      </c>
      <c r="C126" s="28">
        <f t="shared" ref="C126" si="242">B126*0.09</f>
        <v>10708.47</v>
      </c>
      <c r="D126" s="28">
        <f t="shared" ref="D126" si="243">SUM(B126:C126)</f>
        <v>129691.47</v>
      </c>
      <c r="E126" s="373" t="s">
        <v>149</v>
      </c>
      <c r="F126" s="79">
        <v>0</v>
      </c>
      <c r="G126" s="94">
        <v>0</v>
      </c>
      <c r="H126" s="95">
        <f>1-G126-F126</f>
        <v>1</v>
      </c>
      <c r="I126" s="82">
        <f t="shared" ref="I126" si="244">F126*B126</f>
        <v>0</v>
      </c>
      <c r="J126" s="132">
        <f t="shared" ref="J126" si="245">F126*C126</f>
        <v>0</v>
      </c>
      <c r="K126" s="23">
        <f t="shared" si="239"/>
        <v>0</v>
      </c>
      <c r="L126" s="22">
        <f t="shared" ref="L126" si="246">G126*B126</f>
        <v>0</v>
      </c>
      <c r="M126" s="24">
        <f t="shared" ref="M126" si="247">G126*C126</f>
        <v>0</v>
      </c>
      <c r="N126" s="23">
        <f t="shared" si="240"/>
        <v>0</v>
      </c>
      <c r="O126" s="22">
        <f t="shared" ref="O126" si="248">H126*B126</f>
        <v>118983</v>
      </c>
      <c r="P126" s="24">
        <f t="shared" ref="P126" si="249">H126*C126</f>
        <v>10708.47</v>
      </c>
      <c r="Q126" s="23">
        <f t="shared" si="241"/>
        <v>129691.47</v>
      </c>
      <c r="R126" s="152"/>
    </row>
    <row r="127" spans="1:18" s="12" customFormat="1" x14ac:dyDescent="0.25">
      <c r="A127" s="175"/>
      <c r="B127" s="13"/>
      <c r="C127" s="13"/>
      <c r="D127" s="13"/>
      <c r="E127" s="27"/>
      <c r="F127" s="14"/>
      <c r="G127" s="25"/>
      <c r="H127" s="25"/>
      <c r="I127" s="26"/>
      <c r="J127" s="83"/>
      <c r="K127" s="65"/>
      <c r="L127" s="26"/>
      <c r="M127" s="27"/>
      <c r="N127" s="54"/>
      <c r="O127" s="26"/>
      <c r="P127" s="27"/>
      <c r="Q127" s="65"/>
      <c r="R127" s="152"/>
    </row>
    <row r="128" spans="1:18" s="120" customFormat="1" x14ac:dyDescent="0.25">
      <c r="A128" s="174" t="s">
        <v>15</v>
      </c>
      <c r="B128" s="116">
        <v>0</v>
      </c>
      <c r="C128" s="116">
        <v>0</v>
      </c>
      <c r="D128" s="116">
        <f>C128+B128</f>
        <v>0</v>
      </c>
      <c r="E128" s="373" t="s">
        <v>149</v>
      </c>
      <c r="F128" s="14">
        <v>0</v>
      </c>
      <c r="G128" s="25">
        <v>0</v>
      </c>
      <c r="H128" s="25">
        <f>1-G128-F128</f>
        <v>1</v>
      </c>
      <c r="I128" s="117">
        <f>F128*B128</f>
        <v>0</v>
      </c>
      <c r="J128" s="118">
        <f>F128*C128</f>
        <v>0</v>
      </c>
      <c r="K128" s="109">
        <f t="shared" ref="K128" si="250">J128+I128</f>
        <v>0</v>
      </c>
      <c r="L128" s="117">
        <f>G128*B128</f>
        <v>0</v>
      </c>
      <c r="M128" s="119">
        <f>G128*C128</f>
        <v>0</v>
      </c>
      <c r="N128" s="109">
        <f t="shared" ref="N128" si="251">M128+L128</f>
        <v>0</v>
      </c>
      <c r="O128" s="101">
        <f>B128*H128</f>
        <v>0</v>
      </c>
      <c r="P128" s="6">
        <f>C128*H128</f>
        <v>0</v>
      </c>
      <c r="Q128" s="109">
        <f t="shared" ref="Q128" si="252">P128+O128</f>
        <v>0</v>
      </c>
      <c r="R128" s="149"/>
    </row>
    <row r="129" spans="1:18" s="12" customFormat="1" x14ac:dyDescent="0.25">
      <c r="A129" s="165"/>
      <c r="B129" s="18"/>
      <c r="C129" s="28"/>
      <c r="D129" s="28"/>
      <c r="E129" s="16"/>
      <c r="F129" s="14"/>
      <c r="G129" s="25"/>
      <c r="H129" s="25"/>
      <c r="I129" s="26"/>
      <c r="J129" s="83"/>
      <c r="K129" s="65"/>
      <c r="L129" s="26"/>
      <c r="M129" s="27"/>
      <c r="N129" s="54"/>
      <c r="O129" s="26"/>
      <c r="P129" s="27"/>
      <c r="Q129" s="65"/>
      <c r="R129" s="152"/>
    </row>
    <row r="130" spans="1:18" s="120" customFormat="1" x14ac:dyDescent="0.25">
      <c r="A130" s="174" t="s">
        <v>37</v>
      </c>
      <c r="B130" s="116">
        <f>SUM(B131:B131)</f>
        <v>42757</v>
      </c>
      <c r="C130" s="116">
        <f>SUM(C131:C131)</f>
        <v>3848.1299999999997</v>
      </c>
      <c r="D130" s="116">
        <f>SUM(D131:D131)</f>
        <v>46605.13</v>
      </c>
      <c r="E130" s="119"/>
      <c r="F130" s="78">
        <f>AVERAGE(F131:F131)</f>
        <v>0</v>
      </c>
      <c r="G130" s="78">
        <f>AVERAGE(G131:G131)</f>
        <v>0</v>
      </c>
      <c r="H130" s="97">
        <f>AVERAGE(H131:H131)</f>
        <v>1</v>
      </c>
      <c r="I130" s="117">
        <f>SUM(I131:I131)</f>
        <v>0</v>
      </c>
      <c r="J130" s="118">
        <f>SUM(J131:J131)</f>
        <v>0</v>
      </c>
      <c r="K130" s="109">
        <f t="shared" ref="K130:K131" si="253">J130+I130</f>
        <v>0</v>
      </c>
      <c r="L130" s="117">
        <f>SUM(L131:L131)</f>
        <v>0</v>
      </c>
      <c r="M130" s="119">
        <f>SUM(M131:M131)</f>
        <v>0</v>
      </c>
      <c r="N130" s="109">
        <f t="shared" ref="N130:N131" si="254">M130+L130</f>
        <v>0</v>
      </c>
      <c r="O130" s="101">
        <f>SUM(O131:O131)</f>
        <v>42757</v>
      </c>
      <c r="P130" s="6">
        <f>SUM(P131:P131)</f>
        <v>3848.1299999999997</v>
      </c>
      <c r="Q130" s="109">
        <f t="shared" ref="Q130:Q131" si="255">P130+O130</f>
        <v>46605.13</v>
      </c>
      <c r="R130" s="149"/>
    </row>
    <row r="131" spans="1:18" s="12" customFormat="1" x14ac:dyDescent="0.25">
      <c r="A131" s="165" t="s">
        <v>79</v>
      </c>
      <c r="B131" s="18">
        <v>42757</v>
      </c>
      <c r="C131" s="28">
        <f t="shared" ref="C131" si="256">B131*0.09</f>
        <v>3848.1299999999997</v>
      </c>
      <c r="D131" s="28">
        <f t="shared" ref="D131" si="257">SUM(B131:C131)</f>
        <v>46605.13</v>
      </c>
      <c r="E131" s="373" t="s">
        <v>149</v>
      </c>
      <c r="F131" s="79">
        <v>0</v>
      </c>
      <c r="G131" s="94">
        <v>0</v>
      </c>
      <c r="H131" s="95">
        <f>1-G131-F131</f>
        <v>1</v>
      </c>
      <c r="I131" s="82">
        <f t="shared" ref="I131" si="258">F131*B131</f>
        <v>0</v>
      </c>
      <c r="J131" s="132">
        <f t="shared" ref="J131" si="259">F131*C131</f>
        <v>0</v>
      </c>
      <c r="K131" s="23">
        <f t="shared" si="253"/>
        <v>0</v>
      </c>
      <c r="L131" s="22">
        <f t="shared" ref="L131" si="260">G131*B131</f>
        <v>0</v>
      </c>
      <c r="M131" s="24">
        <f t="shared" ref="M131" si="261">G131*C131</f>
        <v>0</v>
      </c>
      <c r="N131" s="23">
        <f t="shared" si="254"/>
        <v>0</v>
      </c>
      <c r="O131" s="22">
        <f t="shared" ref="O131" si="262">H131*B131</f>
        <v>42757</v>
      </c>
      <c r="P131" s="24">
        <f t="shared" ref="P131" si="263">H131*C131</f>
        <v>3848.1299999999997</v>
      </c>
      <c r="Q131" s="23">
        <f t="shared" si="255"/>
        <v>46605.13</v>
      </c>
      <c r="R131" s="152"/>
    </row>
    <row r="132" spans="1:18" s="12" customFormat="1" x14ac:dyDescent="0.25">
      <c r="A132" s="175"/>
      <c r="B132" s="13"/>
      <c r="C132" s="13"/>
      <c r="D132" s="13"/>
      <c r="E132" s="27"/>
      <c r="F132" s="14"/>
      <c r="G132" s="25"/>
      <c r="H132" s="25"/>
      <c r="I132" s="26"/>
      <c r="J132" s="83"/>
      <c r="K132" s="65"/>
      <c r="L132" s="26"/>
      <c r="M132" s="27"/>
      <c r="N132" s="54"/>
      <c r="O132" s="26"/>
      <c r="P132" s="27"/>
      <c r="Q132" s="65"/>
      <c r="R132" s="152"/>
    </row>
    <row r="133" spans="1:18" s="99" customFormat="1" x14ac:dyDescent="0.25">
      <c r="A133" s="164" t="s">
        <v>30</v>
      </c>
      <c r="B133" s="100">
        <v>0</v>
      </c>
      <c r="C133" s="100">
        <f>B133*0.09</f>
        <v>0</v>
      </c>
      <c r="D133" s="100">
        <f>C133+B133</f>
        <v>0</v>
      </c>
      <c r="E133" s="373" t="s">
        <v>149</v>
      </c>
      <c r="F133" s="14">
        <v>0</v>
      </c>
      <c r="G133" s="25">
        <v>0</v>
      </c>
      <c r="H133" s="25">
        <f>1-G133-F133</f>
        <v>1</v>
      </c>
      <c r="I133" s="117">
        <f>F133*B133</f>
        <v>0</v>
      </c>
      <c r="J133" s="118">
        <f>F133*C133</f>
        <v>0</v>
      </c>
      <c r="K133" s="109">
        <f t="shared" ref="K133" si="264">J133+I133</f>
        <v>0</v>
      </c>
      <c r="L133" s="117">
        <f>G133*B133</f>
        <v>0</v>
      </c>
      <c r="M133" s="119">
        <f>G133*C133</f>
        <v>0</v>
      </c>
      <c r="N133" s="109">
        <f t="shared" ref="N133" si="265">M133+L133</f>
        <v>0</v>
      </c>
      <c r="O133" s="101">
        <f>B133*H133</f>
        <v>0</v>
      </c>
      <c r="P133" s="6">
        <f>C133*H133</f>
        <v>0</v>
      </c>
      <c r="Q133" s="109">
        <f t="shared" ref="Q133" si="266">P133+O133</f>
        <v>0</v>
      </c>
      <c r="R133" s="146"/>
    </row>
    <row r="134" spans="1:18" s="35" customFormat="1" x14ac:dyDescent="0.25">
      <c r="A134" s="167"/>
      <c r="B134" s="28"/>
      <c r="C134" s="28"/>
      <c r="D134" s="28"/>
      <c r="E134" s="16"/>
      <c r="F134" s="29"/>
      <c r="G134" s="30"/>
      <c r="H134" s="30"/>
      <c r="I134" s="15"/>
      <c r="J134" s="34"/>
      <c r="K134" s="32"/>
      <c r="L134" s="15"/>
      <c r="M134" s="16"/>
      <c r="N134" s="60"/>
      <c r="O134" s="15"/>
      <c r="P134" s="16"/>
      <c r="Q134" s="32"/>
      <c r="R134" s="147"/>
    </row>
    <row r="135" spans="1:18" s="99" customFormat="1" x14ac:dyDescent="0.25">
      <c r="A135" s="166" t="s">
        <v>35</v>
      </c>
      <c r="B135" s="100">
        <v>0</v>
      </c>
      <c r="C135" s="100">
        <f>B135*0.09</f>
        <v>0</v>
      </c>
      <c r="D135" s="100">
        <f>C135+B135</f>
        <v>0</v>
      </c>
      <c r="E135" s="373" t="s">
        <v>149</v>
      </c>
      <c r="F135" s="14">
        <v>0</v>
      </c>
      <c r="G135" s="25">
        <v>0</v>
      </c>
      <c r="H135" s="25">
        <f>1-G135-F135</f>
        <v>1</v>
      </c>
      <c r="I135" s="117">
        <f>F135*B135</f>
        <v>0</v>
      </c>
      <c r="J135" s="118">
        <f>F135*C135</f>
        <v>0</v>
      </c>
      <c r="K135" s="109">
        <f t="shared" ref="K135" si="267">J135+I135</f>
        <v>0</v>
      </c>
      <c r="L135" s="117">
        <f>G135*B135</f>
        <v>0</v>
      </c>
      <c r="M135" s="119">
        <f>G135*C135</f>
        <v>0</v>
      </c>
      <c r="N135" s="109">
        <f t="shared" ref="N135" si="268">M135+L135</f>
        <v>0</v>
      </c>
      <c r="O135" s="101">
        <f>B135*H135</f>
        <v>0</v>
      </c>
      <c r="P135" s="6">
        <f>C135*H135</f>
        <v>0</v>
      </c>
      <c r="Q135" s="109">
        <f t="shared" ref="Q135" si="269">P135+O135</f>
        <v>0</v>
      </c>
      <c r="R135" s="146"/>
    </row>
    <row r="136" spans="1:18" s="84" customFormat="1" ht="15.75" thickBot="1" x14ac:dyDescent="0.3">
      <c r="A136" s="176"/>
      <c r="B136" s="85"/>
      <c r="C136" s="85"/>
      <c r="D136" s="85"/>
      <c r="E136" s="90"/>
      <c r="F136" s="86"/>
      <c r="G136" s="87"/>
      <c r="H136" s="87"/>
      <c r="I136" s="26"/>
      <c r="J136" s="89"/>
      <c r="K136" s="98"/>
      <c r="L136" s="26"/>
      <c r="M136" s="90"/>
      <c r="N136" s="141"/>
      <c r="O136" s="26"/>
      <c r="P136" s="90"/>
      <c r="Q136" s="214"/>
      <c r="R136" s="213"/>
    </row>
    <row r="137" spans="1:18" s="7" customFormat="1" ht="15.75" thickBot="1" x14ac:dyDescent="0.3">
      <c r="A137" s="163" t="s">
        <v>81</v>
      </c>
      <c r="B137" s="8">
        <f>SUM(B124,B110,B92,B72,B65,B47,B33,B2)</f>
        <v>1727648</v>
      </c>
      <c r="C137" s="8">
        <f>SUM(C124,C110,C92,C72,C65,C47,C33,C2)</f>
        <v>155488.32000000001</v>
      </c>
      <c r="D137" s="8">
        <f>SUM(D124,D110,D92,D72,D65,D47,D33,D2)</f>
        <v>1883136.32</v>
      </c>
      <c r="E137" s="376"/>
      <c r="F137" s="133"/>
      <c r="G137" s="134"/>
      <c r="H137" s="181">
        <f>SUM(K137,N137,Q137)</f>
        <v>1883136.32</v>
      </c>
      <c r="I137" s="135">
        <f t="shared" ref="I137:Q137" si="270">SUM(I2,I33,I47,I65,I72,I92,I110,I124)</f>
        <v>428400.2</v>
      </c>
      <c r="J137" s="135">
        <f t="shared" si="270"/>
        <v>38556.018000000004</v>
      </c>
      <c r="K137" s="136">
        <f t="shared" si="270"/>
        <v>466956.21799999999</v>
      </c>
      <c r="L137" s="135">
        <f t="shared" si="270"/>
        <v>922687.3</v>
      </c>
      <c r="M137" s="135">
        <f t="shared" si="270"/>
        <v>83041.857000000018</v>
      </c>
      <c r="N137" s="136">
        <f t="shared" si="270"/>
        <v>1005729.1569999999</v>
      </c>
      <c r="O137" s="135">
        <f t="shared" si="270"/>
        <v>376560.5</v>
      </c>
      <c r="P137" s="135">
        <f t="shared" si="270"/>
        <v>33890.445</v>
      </c>
      <c r="Q137" s="136">
        <f t="shared" si="270"/>
        <v>410450.94500000001</v>
      </c>
      <c r="R137" s="154"/>
    </row>
    <row r="138" spans="1:18" ht="30" x14ac:dyDescent="0.25">
      <c r="H138" s="161" t="s">
        <v>272</v>
      </c>
      <c r="I138" s="159">
        <f>SUM(I4:I8,I11,I14,I34,I36,I48,I51:I53,I56:I58,I61,I63,I74:I77,I79,I82:I86,I88,I90,I96,I97,I99)</f>
        <v>396538.22</v>
      </c>
      <c r="J138" s="159">
        <f t="shared" ref="J138:K138" si="271">SUM(J4:J8,J11,J14,J34,J36,J48,J51:J53,J56:J58,J61,J63,J74:J77,J79,J82:J86,J88,J90,J96,J97,J99)</f>
        <v>35688.4398</v>
      </c>
      <c r="K138" s="159">
        <f t="shared" si="271"/>
        <v>432226.65980000002</v>
      </c>
      <c r="L138" s="15">
        <f>SUM(L4:L8,L11,L14,L34,L36,L48,L51:L53,L56:L58,L61,L63,L74:L77,L79,L82:L86,L88,L90,L96,L97,L99)</f>
        <v>786388.83</v>
      </c>
      <c r="M138" s="15">
        <f t="shared" ref="M138:N138" si="272">SUM(M4:M8,M11,M14,M34,M36,M48,M51:M53,M56:M58,M61,M63,M74:M77,M79,M82:M86,M88,M90,M96,M97,M99)</f>
        <v>70774.99470000001</v>
      </c>
      <c r="N138" s="15">
        <f t="shared" si="272"/>
        <v>857163.82470000011</v>
      </c>
      <c r="R138" s="207"/>
    </row>
    <row r="139" spans="1:18" x14ac:dyDescent="0.25">
      <c r="H139" s="30" t="s">
        <v>148</v>
      </c>
      <c r="I139" s="159">
        <f>SUM(I15:I23,I26:I29,I39:I40,I43,I45)</f>
        <v>31861.980000000007</v>
      </c>
      <c r="J139" s="159">
        <f t="shared" ref="J139:K139" si="273">SUM(J15:J23,J26:J29,J39:J40,J43,J45)</f>
        <v>2867.5781999999995</v>
      </c>
      <c r="K139" s="159">
        <f t="shared" si="273"/>
        <v>34729.558200000007</v>
      </c>
      <c r="L139" s="159">
        <f>SUM(L15:L23,L26:L29,L31,L39:L40,L43,L45)</f>
        <v>136298.47</v>
      </c>
      <c r="M139" s="159">
        <f t="shared" ref="M139:N139" si="274">SUM(M15:M23,M26:M29,M31,M39:M40,M43,M45)</f>
        <v>12266.862300000001</v>
      </c>
      <c r="N139" s="159">
        <f t="shared" si="274"/>
        <v>148565.33229999998</v>
      </c>
      <c r="O139" s="159"/>
      <c r="R139" s="207"/>
    </row>
    <row r="140" spans="1:18" x14ac:dyDescent="0.25">
      <c r="H140" s="30" t="s">
        <v>82</v>
      </c>
      <c r="I140" s="159">
        <f>SUM(I138:I139)</f>
        <v>428400.19999999995</v>
      </c>
      <c r="J140" s="159">
        <f t="shared" ref="J140:L140" si="275">SUM(J138:J139)</f>
        <v>38556.017999999996</v>
      </c>
      <c r="K140" s="159">
        <f t="shared" si="275"/>
        <v>466956.21800000005</v>
      </c>
      <c r="L140" s="159">
        <f t="shared" si="275"/>
        <v>922687.29999999993</v>
      </c>
      <c r="M140" s="159">
        <f t="shared" ref="M140" si="276">SUM(M138:M139)</f>
        <v>83041.857000000018</v>
      </c>
      <c r="N140" s="159">
        <f t="shared" ref="N140" si="277">SUM(N138:N139)</f>
        <v>1005729.1570000001</v>
      </c>
      <c r="O140" s="378">
        <f>O137/B137</f>
        <v>0.21796135555390914</v>
      </c>
      <c r="P140" s="378">
        <f>P137/C137</f>
        <v>0.21796135555390911</v>
      </c>
      <c r="Q140" s="378">
        <f>Q137/D137</f>
        <v>0.21796135555390914</v>
      </c>
      <c r="R140" s="207"/>
    </row>
    <row r="141" spans="1:18" s="29" customFormat="1" ht="30" x14ac:dyDescent="0.25">
      <c r="A141" s="179"/>
      <c r="B141" s="18"/>
      <c r="C141" s="18"/>
      <c r="D141" s="18"/>
      <c r="E141" s="373"/>
      <c r="G141" s="30"/>
      <c r="H141" s="30" t="s">
        <v>273</v>
      </c>
      <c r="I141" s="368">
        <f>I138/B137</f>
        <v>0.22952489164459425</v>
      </c>
      <c r="J141" s="368">
        <f t="shared" ref="J141:K141" si="278">J138/C137</f>
        <v>0.22952489164459425</v>
      </c>
      <c r="K141" s="368">
        <f t="shared" si="278"/>
        <v>0.22952489164459428</v>
      </c>
      <c r="L141" s="368">
        <f>L138/B137</f>
        <v>0.45517885008983311</v>
      </c>
      <c r="M141" s="368">
        <f t="shared" ref="M141:N141" si="279">M138/C137</f>
        <v>0.45517885008983316</v>
      </c>
      <c r="N141" s="368">
        <f t="shared" si="279"/>
        <v>0.45517885008983316</v>
      </c>
      <c r="O141" s="159"/>
      <c r="P141" s="16"/>
      <c r="Q141" s="32"/>
      <c r="R141" s="207"/>
    </row>
    <row r="142" spans="1:18" s="29" customFormat="1" x14ac:dyDescent="0.25">
      <c r="A142" s="179"/>
      <c r="B142" s="18"/>
      <c r="C142" s="18"/>
      <c r="D142" s="18"/>
      <c r="E142" s="373"/>
      <c r="G142" s="30"/>
      <c r="H142" s="161" t="s">
        <v>151</v>
      </c>
      <c r="I142" s="369">
        <f>I139/B137</f>
        <v>1.8442402619052032E-2</v>
      </c>
      <c r="J142" s="369">
        <f t="shared" ref="J142:K142" si="280">J139/C137</f>
        <v>1.8442402619052025E-2</v>
      </c>
      <c r="K142" s="369">
        <f t="shared" si="280"/>
        <v>1.8442402619052032E-2</v>
      </c>
      <c r="L142" s="369">
        <f>L139/B137</f>
        <v>7.8892500092611464E-2</v>
      </c>
      <c r="M142" s="369">
        <f t="shared" ref="M142:N142" si="281">M139/C137</f>
        <v>7.8892500092611464E-2</v>
      </c>
      <c r="N142" s="369">
        <f t="shared" si="281"/>
        <v>7.8892500092611451E-2</v>
      </c>
    </row>
    <row r="143" spans="1:18" s="29" customFormat="1" x14ac:dyDescent="0.25">
      <c r="A143" s="179"/>
      <c r="B143" s="18"/>
      <c r="C143" s="18"/>
      <c r="D143" s="18"/>
      <c r="E143" s="373"/>
      <c r="G143" s="30"/>
      <c r="H143" s="30"/>
      <c r="I143" s="15"/>
      <c r="J143" s="16"/>
      <c r="K143" s="32"/>
      <c r="L143" s="370"/>
    </row>
    <row r="144" spans="1:18" s="29" customFormat="1" x14ac:dyDescent="0.25">
      <c r="A144" s="179"/>
      <c r="B144" s="18"/>
      <c r="C144" s="18"/>
      <c r="D144" s="18"/>
      <c r="E144" s="373"/>
      <c r="G144" s="30"/>
      <c r="H144" s="30"/>
      <c r="I144" s="15"/>
      <c r="J144" s="16"/>
      <c r="K144" s="209"/>
      <c r="L144" s="207"/>
    </row>
    <row r="145" spans="1:18" x14ac:dyDescent="0.25">
      <c r="J145" s="16"/>
      <c r="K145" s="209"/>
      <c r="L145" s="207"/>
      <c r="M145"/>
      <c r="N145"/>
      <c r="O145"/>
      <c r="P145"/>
      <c r="Q145"/>
      <c r="R145"/>
    </row>
    <row r="146" spans="1:18" s="29" customFormat="1" ht="33" customHeight="1" x14ac:dyDescent="0.25">
      <c r="A146" s="179"/>
      <c r="B146" s="18"/>
      <c r="C146" s="18"/>
      <c r="D146" s="18"/>
      <c r="E146" s="373"/>
      <c r="G146" s="30"/>
      <c r="H146" s="30"/>
      <c r="I146" s="15"/>
      <c r="J146" s="16"/>
      <c r="K146" s="209"/>
      <c r="L146" s="207"/>
    </row>
    <row r="147" spans="1:18" s="29" customFormat="1" x14ac:dyDescent="0.25">
      <c r="A147" s="179"/>
      <c r="B147" s="18"/>
      <c r="C147" s="18"/>
      <c r="D147" s="18"/>
      <c r="E147" s="373"/>
      <c r="G147" s="30"/>
      <c r="H147" s="30"/>
      <c r="I147" s="15"/>
      <c r="J147" s="16"/>
      <c r="K147" s="209"/>
      <c r="L147" s="207"/>
    </row>
    <row r="148" spans="1:18" s="29" customFormat="1" x14ac:dyDescent="0.25">
      <c r="A148" s="179"/>
      <c r="B148" s="18"/>
      <c r="C148" s="18"/>
      <c r="D148" s="18"/>
      <c r="E148" s="373"/>
      <c r="G148" s="30"/>
      <c r="H148" s="30"/>
      <c r="I148" s="15"/>
      <c r="J148" s="16"/>
      <c r="K148" s="209"/>
      <c r="L148" s="207"/>
    </row>
    <row r="149" spans="1:18" s="29" customFormat="1" x14ac:dyDescent="0.25">
      <c r="A149" s="179"/>
      <c r="B149" s="18"/>
      <c r="C149" s="18"/>
      <c r="D149" s="18"/>
      <c r="E149" s="373"/>
      <c r="G149" s="30"/>
      <c r="H149" s="30"/>
      <c r="I149" s="15"/>
      <c r="J149" s="16"/>
      <c r="K149" s="209"/>
      <c r="L149" s="207"/>
    </row>
    <row r="150" spans="1:18" s="29" customFormat="1" x14ac:dyDescent="0.25">
      <c r="A150" s="179"/>
      <c r="B150" s="18"/>
      <c r="C150" s="18"/>
      <c r="D150" s="18"/>
      <c r="E150" s="373"/>
      <c r="G150" s="30"/>
      <c r="H150" s="30"/>
      <c r="I150" s="15"/>
      <c r="J150" s="16"/>
      <c r="K150" s="209"/>
      <c r="L150" s="207"/>
    </row>
    <row r="151" spans="1:18" s="29" customFormat="1" x14ac:dyDescent="0.25">
      <c r="A151" s="179"/>
      <c r="B151" s="18"/>
      <c r="C151" s="18"/>
      <c r="D151" s="18"/>
      <c r="E151" s="373"/>
      <c r="G151" s="30"/>
      <c r="H151" s="30"/>
      <c r="I151" s="15"/>
      <c r="J151" s="16"/>
      <c r="K151" s="209"/>
      <c r="L151" s="207"/>
    </row>
    <row r="152" spans="1:18" s="29" customFormat="1" x14ac:dyDescent="0.25">
      <c r="A152" s="179"/>
      <c r="B152" s="18"/>
      <c r="C152" s="18"/>
      <c r="D152" s="18"/>
      <c r="E152" s="373"/>
      <c r="G152" s="30"/>
      <c r="H152" s="30"/>
      <c r="I152" s="15"/>
      <c r="J152" s="16"/>
      <c r="K152" s="209"/>
      <c r="L152" s="207"/>
    </row>
    <row r="153" spans="1:18" s="29" customFormat="1" x14ac:dyDescent="0.25">
      <c r="A153" s="179"/>
      <c r="B153" s="18"/>
      <c r="C153" s="18"/>
      <c r="D153" s="18"/>
      <c r="E153" s="373"/>
      <c r="G153" s="30"/>
      <c r="H153" s="30"/>
      <c r="I153" s="15"/>
      <c r="J153" s="16"/>
      <c r="K153" s="209"/>
      <c r="L153" s="207"/>
    </row>
    <row r="154" spans="1:18" x14ac:dyDescent="0.25">
      <c r="J154" s="16"/>
      <c r="K154" s="209"/>
      <c r="L154" s="207"/>
      <c r="M154"/>
      <c r="N154"/>
      <c r="O154"/>
      <c r="P154"/>
      <c r="Q154"/>
      <c r="R154"/>
    </row>
    <row r="155" spans="1:18" x14ac:dyDescent="0.25">
      <c r="J155" s="16"/>
      <c r="K155" s="209"/>
      <c r="L155" s="207"/>
      <c r="M155"/>
      <c r="N155"/>
      <c r="O155"/>
      <c r="P155"/>
      <c r="Q155"/>
      <c r="R155"/>
    </row>
    <row r="156" spans="1:18" x14ac:dyDescent="0.25">
      <c r="J156" s="16"/>
      <c r="K156" s="209"/>
      <c r="L156" s="207"/>
      <c r="M156"/>
      <c r="N156"/>
      <c r="O156"/>
      <c r="P156"/>
      <c r="Q156"/>
      <c r="R156"/>
    </row>
    <row r="157" spans="1:18" x14ac:dyDescent="0.25">
      <c r="L157" s="159"/>
      <c r="O157" s="159"/>
      <c r="Q157" s="209"/>
      <c r="R157" s="207"/>
    </row>
    <row r="158" spans="1:18" x14ac:dyDescent="0.25">
      <c r="L158" s="159"/>
      <c r="O158" s="159"/>
      <c r="Q158" s="209"/>
      <c r="R158" s="207"/>
    </row>
    <row r="159" spans="1:18" x14ac:dyDescent="0.25">
      <c r="L159" s="159"/>
      <c r="O159" s="159"/>
      <c r="Q159" s="209"/>
      <c r="R159" s="207"/>
    </row>
    <row r="160" spans="1:18" x14ac:dyDescent="0.25">
      <c r="L160" s="159"/>
      <c r="O160" s="159"/>
      <c r="Q160" s="209"/>
      <c r="R160" s="207"/>
    </row>
    <row r="161" spans="1:18" s="31" customFormat="1" x14ac:dyDescent="0.25">
      <c r="A161" s="179"/>
      <c r="B161" s="18"/>
      <c r="C161" s="18"/>
      <c r="D161" s="18"/>
      <c r="E161" s="373"/>
      <c r="F161" s="29"/>
      <c r="G161" s="30"/>
      <c r="H161" s="30"/>
      <c r="I161" s="15"/>
      <c r="K161" s="32"/>
      <c r="L161" s="159"/>
      <c r="M161" s="16"/>
      <c r="N161" s="60"/>
      <c r="O161" s="159"/>
      <c r="P161" s="16"/>
      <c r="Q161" s="209"/>
      <c r="R161" s="207"/>
    </row>
    <row r="162" spans="1:18" s="31" customFormat="1" x14ac:dyDescent="0.25">
      <c r="A162" s="179"/>
      <c r="B162" s="18"/>
      <c r="C162" s="18"/>
      <c r="D162" s="18"/>
      <c r="E162" s="373"/>
      <c r="F162" s="29"/>
      <c r="G162" s="30"/>
      <c r="H162" s="30"/>
      <c r="I162" s="15"/>
      <c r="K162" s="32"/>
      <c r="L162" s="159"/>
      <c r="M162" s="16"/>
      <c r="N162" s="60"/>
      <c r="O162" s="159"/>
      <c r="P162" s="16"/>
      <c r="Q162" s="209"/>
      <c r="R162" s="207"/>
    </row>
    <row r="163" spans="1:18" s="31" customFormat="1" x14ac:dyDescent="0.25">
      <c r="A163" s="179"/>
      <c r="B163" s="18"/>
      <c r="C163" s="18"/>
      <c r="D163" s="18"/>
      <c r="E163" s="373"/>
      <c r="F163" s="29"/>
      <c r="G163" s="30"/>
      <c r="H163" s="30"/>
      <c r="I163" s="15"/>
      <c r="K163" s="32"/>
      <c r="L163" s="159"/>
      <c r="M163" s="16"/>
      <c r="N163" s="60"/>
      <c r="O163" s="159"/>
      <c r="P163" s="16"/>
      <c r="Q163" s="209"/>
      <c r="R163" s="207"/>
    </row>
    <row r="164" spans="1:18" s="31" customFormat="1" x14ac:dyDescent="0.25">
      <c r="A164" s="179"/>
      <c r="B164" s="18"/>
      <c r="C164" s="18"/>
      <c r="D164" s="18"/>
      <c r="E164" s="373"/>
      <c r="F164" s="29"/>
      <c r="G164" s="30"/>
      <c r="H164" s="30"/>
      <c r="I164" s="15"/>
      <c r="K164" s="32"/>
      <c r="L164" s="159"/>
      <c r="M164" s="16"/>
      <c r="N164" s="60"/>
      <c r="O164" s="159"/>
      <c r="P164" s="16"/>
      <c r="Q164" s="209"/>
      <c r="R164" s="207"/>
    </row>
    <row r="165" spans="1:18" s="31" customFormat="1" x14ac:dyDescent="0.25">
      <c r="A165" s="179"/>
      <c r="B165" s="18"/>
      <c r="C165" s="18"/>
      <c r="D165" s="18"/>
      <c r="E165" s="373"/>
      <c r="F165" s="29"/>
      <c r="G165" s="30"/>
      <c r="H165" s="30"/>
      <c r="I165" s="15"/>
      <c r="K165" s="32"/>
      <c r="L165" s="159"/>
      <c r="M165" s="16"/>
      <c r="N165" s="60"/>
      <c r="O165" s="159"/>
      <c r="P165" s="16"/>
      <c r="Q165" s="209"/>
      <c r="R165" s="207"/>
    </row>
    <row r="166" spans="1:18" s="31" customFormat="1" x14ac:dyDescent="0.25">
      <c r="A166" s="179"/>
      <c r="B166" s="18"/>
      <c r="C166" s="18"/>
      <c r="D166" s="18"/>
      <c r="E166" s="373"/>
      <c r="F166" s="29"/>
      <c r="G166" s="30"/>
      <c r="H166" s="30"/>
      <c r="I166" s="15"/>
      <c r="K166" s="32"/>
      <c r="L166" s="159"/>
      <c r="M166" s="16"/>
      <c r="N166" s="60"/>
      <c r="O166" s="159"/>
      <c r="P166" s="16"/>
      <c r="Q166" s="209"/>
      <c r="R166" s="207"/>
    </row>
    <row r="167" spans="1:18" x14ac:dyDescent="0.25">
      <c r="L167" s="159"/>
      <c r="O167" s="159"/>
      <c r="Q167" s="209"/>
      <c r="R167" s="207"/>
    </row>
    <row r="168" spans="1:18" x14ac:dyDescent="0.25">
      <c r="L168" s="159"/>
      <c r="O168" s="159"/>
      <c r="Q168" s="209"/>
      <c r="R168" s="207"/>
    </row>
    <row r="169" spans="1:18" x14ac:dyDescent="0.25">
      <c r="L169" s="159"/>
      <c r="O169" s="159"/>
      <c r="Q169" s="209"/>
      <c r="R169" s="207"/>
    </row>
    <row r="170" spans="1:18" x14ac:dyDescent="0.25">
      <c r="L170" s="159"/>
      <c r="O170" s="159"/>
      <c r="Q170" s="209"/>
      <c r="R170" s="207"/>
    </row>
    <row r="171" spans="1:18" x14ac:dyDescent="0.25">
      <c r="L171" s="159"/>
      <c r="O171" s="159"/>
      <c r="Q171" s="209"/>
      <c r="R171" s="207"/>
    </row>
    <row r="172" spans="1:18" x14ac:dyDescent="0.25">
      <c r="L172" s="159"/>
      <c r="O172" s="159"/>
      <c r="Q172" s="209"/>
      <c r="R172" s="207"/>
    </row>
    <row r="173" spans="1:18" x14ac:dyDescent="0.25">
      <c r="L173" s="159"/>
      <c r="O173" s="159"/>
      <c r="Q173" s="209"/>
      <c r="R173" s="207"/>
    </row>
    <row r="174" spans="1:18" x14ac:dyDescent="0.25">
      <c r="L174" s="159"/>
      <c r="O174" s="159"/>
      <c r="Q174" s="209"/>
      <c r="R174" s="207"/>
    </row>
    <row r="175" spans="1:18" ht="30" customHeight="1" x14ac:dyDescent="0.25">
      <c r="L175" s="159"/>
      <c r="O175" s="159"/>
      <c r="Q175" s="209"/>
      <c r="R175" s="207"/>
    </row>
    <row r="176" spans="1:18" x14ac:dyDescent="0.25">
      <c r="L176" s="159"/>
      <c r="O176" s="159"/>
      <c r="Q176" s="209"/>
      <c r="R176" s="207"/>
    </row>
    <row r="177" spans="12:18" x14ac:dyDescent="0.25">
      <c r="L177" s="159"/>
      <c r="O177" s="159"/>
      <c r="Q177" s="209"/>
      <c r="R177" s="207"/>
    </row>
    <row r="178" spans="12:18" x14ac:dyDescent="0.25">
      <c r="L178" s="159"/>
      <c r="O178" s="159"/>
      <c r="Q178" s="209"/>
      <c r="R178" s="207"/>
    </row>
    <row r="179" spans="12:18" x14ac:dyDescent="0.25">
      <c r="L179" s="159"/>
      <c r="O179" s="159"/>
      <c r="Q179" s="209"/>
      <c r="R179" s="207"/>
    </row>
    <row r="180" spans="12:18" x14ac:dyDescent="0.25">
      <c r="L180" s="159"/>
      <c r="O180" s="159"/>
      <c r="Q180" s="209"/>
      <c r="R180" s="207"/>
    </row>
    <row r="181" spans="12:18" x14ac:dyDescent="0.25">
      <c r="L181" s="159"/>
      <c r="O181" s="159"/>
      <c r="Q181" s="209"/>
      <c r="R181" s="207"/>
    </row>
    <row r="182" spans="12:18" ht="30" customHeight="1" x14ac:dyDescent="0.25">
      <c r="L182" s="159"/>
      <c r="O182" s="159"/>
      <c r="Q182" s="209"/>
      <c r="R182" s="207"/>
    </row>
    <row r="183" spans="12:18" x14ac:dyDescent="0.25">
      <c r="L183" s="159"/>
      <c r="O183" s="159"/>
      <c r="Q183" s="209"/>
      <c r="R183" s="207"/>
    </row>
    <row r="184" spans="12:18" x14ac:dyDescent="0.25">
      <c r="L184" s="159"/>
      <c r="O184" s="159"/>
      <c r="Q184" s="209"/>
      <c r="R184" s="207"/>
    </row>
    <row r="185" spans="12:18" x14ac:dyDescent="0.25">
      <c r="L185" s="159"/>
      <c r="O185" s="159"/>
      <c r="Q185" s="209"/>
      <c r="R185" s="207"/>
    </row>
    <row r="186" spans="12:18" x14ac:dyDescent="0.25">
      <c r="L186" s="159"/>
      <c r="O186" s="159"/>
      <c r="Q186" s="209"/>
      <c r="R186" s="207"/>
    </row>
    <row r="187" spans="12:18" x14ac:dyDescent="0.25">
      <c r="L187" s="159"/>
      <c r="O187" s="159"/>
      <c r="Q187" s="209"/>
      <c r="R187" s="207"/>
    </row>
    <row r="188" spans="12:18" x14ac:dyDescent="0.25">
      <c r="L188" s="159"/>
      <c r="O188" s="159"/>
      <c r="Q188" s="209"/>
      <c r="R188" s="207"/>
    </row>
    <row r="189" spans="12:18" x14ac:dyDescent="0.25">
      <c r="L189" s="159"/>
      <c r="O189" s="159"/>
      <c r="Q189" s="209"/>
      <c r="R189" s="207"/>
    </row>
    <row r="190" spans="12:18" x14ac:dyDescent="0.25">
      <c r="L190" s="159"/>
      <c r="O190" s="159"/>
      <c r="Q190" s="209"/>
      <c r="R190" s="207"/>
    </row>
    <row r="191" spans="12:18" x14ac:dyDescent="0.25">
      <c r="L191" s="159"/>
      <c r="O191" s="159"/>
      <c r="Q191" s="209"/>
      <c r="R191" s="207"/>
    </row>
    <row r="192" spans="12:18" x14ac:dyDescent="0.25">
      <c r="L192" s="159"/>
      <c r="O192" s="159"/>
      <c r="Q192" s="209"/>
      <c r="R192" s="207"/>
    </row>
    <row r="193" spans="12:18" x14ac:dyDescent="0.25">
      <c r="L193" s="159"/>
      <c r="O193" s="159"/>
      <c r="Q193" s="209"/>
      <c r="R193" s="207"/>
    </row>
    <row r="194" spans="12:18" x14ac:dyDescent="0.25">
      <c r="L194" s="159"/>
      <c r="O194" s="159"/>
      <c r="Q194" s="209"/>
      <c r="R194" s="207"/>
    </row>
    <row r="195" spans="12:18" x14ac:dyDescent="0.25">
      <c r="L195" s="159"/>
      <c r="O195" s="159"/>
      <c r="Q195" s="209"/>
      <c r="R195" s="207"/>
    </row>
    <row r="196" spans="12:18" x14ac:dyDescent="0.25">
      <c r="L196" s="159"/>
      <c r="O196" s="159"/>
      <c r="Q196" s="209"/>
      <c r="R196" s="207"/>
    </row>
  </sheetData>
  <sheetProtection password="D297" sheet="1" objects="1" scenarios="1"/>
  <pageMargins left="0.25" right="0.25" top="0.5" bottom="0.5" header="0.3" footer="0.3"/>
  <pageSetup paperSize="5" scale="68" fitToHeight="0" orientation="landscape" r:id="rId1"/>
  <rowBreaks count="3" manualBreakCount="3">
    <brk id="46" max="16383" man="1"/>
    <brk id="91" max="16383" man="1"/>
    <brk id="139" max="16" man="1"/>
  </rowBreaks>
  <ignoredErrors>
    <ignoredError sqref="F42:G42"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214"/>
  <sheetViews>
    <sheetView topLeftCell="A112" zoomScaleNormal="100" workbookViewId="0">
      <selection activeCell="E15" sqref="E15"/>
    </sheetView>
  </sheetViews>
  <sheetFormatPr defaultRowHeight="15" x14ac:dyDescent="0.25"/>
  <cols>
    <col min="1" max="1" width="40.28515625" style="179" customWidth="1"/>
    <col min="2" max="2" width="12.5703125" style="18" bestFit="1" customWidth="1"/>
    <col min="3" max="3" width="12.5703125" style="18" customWidth="1"/>
    <col min="4" max="4" width="14.85546875" style="18" customWidth="1"/>
    <col min="5" max="5" width="10.5703125" style="373" bestFit="1" customWidth="1"/>
    <col min="6" max="6" width="12.140625" style="29" bestFit="1" customWidth="1"/>
    <col min="7" max="7" width="11.85546875" style="30" customWidth="1"/>
    <col min="8" max="8" width="13" style="30" customWidth="1"/>
    <col min="9" max="9" width="9.85546875" style="15" customWidth="1"/>
    <col min="10" max="10" width="9" style="31" bestFit="1" customWidth="1"/>
    <col min="11" max="11" width="10" style="32" bestFit="1" customWidth="1"/>
    <col min="12" max="12" width="11" style="15" bestFit="1" customWidth="1"/>
    <col min="13" max="13" width="9.42578125" style="16" bestFit="1" customWidth="1"/>
    <col min="14" max="14" width="11.85546875" style="60" customWidth="1"/>
    <col min="15" max="15" width="13" style="15" customWidth="1"/>
    <col min="16" max="16" width="12.85546875" style="16" customWidth="1"/>
    <col min="17" max="17" width="13.140625" style="32" customWidth="1"/>
    <col min="18" max="18" width="20" style="145" bestFit="1" customWidth="1"/>
    <col min="20" max="20" width="10" bestFit="1" customWidth="1"/>
  </cols>
  <sheetData>
    <row r="1" spans="1:20" s="156" customFormat="1" ht="90" x14ac:dyDescent="0.25">
      <c r="A1" s="162" t="s">
        <v>244</v>
      </c>
      <c r="B1" s="6" t="s">
        <v>98</v>
      </c>
      <c r="C1" s="155" t="s">
        <v>0</v>
      </c>
      <c r="D1" s="155" t="s">
        <v>99</v>
      </c>
      <c r="E1" s="6" t="s">
        <v>271</v>
      </c>
      <c r="F1" s="2" t="s">
        <v>2</v>
      </c>
      <c r="G1" s="2" t="s">
        <v>3</v>
      </c>
      <c r="H1" s="2" t="s">
        <v>187</v>
      </c>
      <c r="I1" s="3" t="s">
        <v>4</v>
      </c>
      <c r="J1" s="4" t="s">
        <v>5</v>
      </c>
      <c r="K1" s="5" t="s">
        <v>6</v>
      </c>
      <c r="L1" s="3" t="s">
        <v>83</v>
      </c>
      <c r="M1" s="6" t="s">
        <v>7</v>
      </c>
      <c r="N1" s="138" t="s">
        <v>8</v>
      </c>
      <c r="O1" s="3" t="s">
        <v>246</v>
      </c>
      <c r="P1" s="6" t="s">
        <v>247</v>
      </c>
      <c r="Q1" s="5" t="s">
        <v>248</v>
      </c>
      <c r="R1" s="157"/>
    </row>
    <row r="2" spans="1:20" s="11" customFormat="1" x14ac:dyDescent="0.25">
      <c r="A2" s="163" t="s">
        <v>9</v>
      </c>
      <c r="B2" s="103">
        <f>B3+B10+B13+B25+B31</f>
        <v>729425</v>
      </c>
      <c r="C2" s="103">
        <f>B2*0.09</f>
        <v>65648.25</v>
      </c>
      <c r="D2" s="103">
        <f>B2+C2</f>
        <v>795073.25</v>
      </c>
      <c r="E2" s="372"/>
      <c r="F2" s="9">
        <f>AVERAGE(F4:F8)</f>
        <v>0.18</v>
      </c>
      <c r="G2" s="9">
        <f>AVERAGE(G4:G8)</f>
        <v>0.77</v>
      </c>
      <c r="H2" s="9">
        <f t="shared" ref="H2" si="0">AVERAGE(H4:H8,H11,H14:H23,H26:H29,H31)</f>
        <v>4.7619047619047658E-2</v>
      </c>
      <c r="I2" s="104">
        <f t="shared" ref="I2:Q2" si="1">SUM(I3,I10,I13,I25,I31)</f>
        <v>126067.68</v>
      </c>
      <c r="J2" s="105">
        <f t="shared" si="1"/>
        <v>11346.091199999999</v>
      </c>
      <c r="K2" s="105">
        <f t="shared" si="1"/>
        <v>137413.77119999999</v>
      </c>
      <c r="L2" s="104">
        <f t="shared" si="1"/>
        <v>568338.52</v>
      </c>
      <c r="M2" s="105">
        <f t="shared" si="1"/>
        <v>51150.466800000002</v>
      </c>
      <c r="N2" s="105">
        <f t="shared" si="1"/>
        <v>619488.98680000007</v>
      </c>
      <c r="O2" s="104">
        <f t="shared" si="1"/>
        <v>35018.800000000025</v>
      </c>
      <c r="P2" s="105">
        <f t="shared" si="1"/>
        <v>3151.6920000000027</v>
      </c>
      <c r="Q2" s="105">
        <f t="shared" si="1"/>
        <v>38170.492000000027</v>
      </c>
      <c r="R2" s="183"/>
      <c r="S2" s="210"/>
      <c r="T2" s="210"/>
    </row>
    <row r="3" spans="1:20" s="1" customFormat="1" x14ac:dyDescent="0.25">
      <c r="A3" s="164" t="s">
        <v>10</v>
      </c>
      <c r="B3" s="100">
        <f>SUM(B4:B8)</f>
        <v>550523</v>
      </c>
      <c r="C3" s="100">
        <f>SUM(C4:C8)</f>
        <v>49547.07</v>
      </c>
      <c r="D3" s="100">
        <f>SUM(D4:D8)</f>
        <v>600070.07000000007</v>
      </c>
      <c r="E3" s="110"/>
      <c r="F3" s="14">
        <f>AVERAGE(F4:F8)</f>
        <v>0.18</v>
      </c>
      <c r="G3" s="14">
        <f>AVERAGE(G4:G8)</f>
        <v>0.77</v>
      </c>
      <c r="H3" s="14">
        <f>1-G3-F3</f>
        <v>4.9999999999999989E-2</v>
      </c>
      <c r="I3" s="101">
        <f>SUM(I4:I8)</f>
        <v>99094.14</v>
      </c>
      <c r="J3" s="123">
        <f t="shared" ref="J3:K3" si="2">SUM(J4:J8)</f>
        <v>8918.4725999999991</v>
      </c>
      <c r="K3" s="123">
        <f t="shared" si="2"/>
        <v>108012.61259999999</v>
      </c>
      <c r="L3" s="101">
        <f>SUM(L4:L8)</f>
        <v>423902.71</v>
      </c>
      <c r="M3" s="6">
        <f>SUM(M4:M8)</f>
        <v>38151.243900000001</v>
      </c>
      <c r="N3" s="123">
        <f t="shared" ref="N3" si="3">SUM(N4:N8)</f>
        <v>462053.95390000008</v>
      </c>
      <c r="O3" s="101">
        <f>SUM(O4:O8)</f>
        <v>27526.150000000023</v>
      </c>
      <c r="P3" s="6">
        <f>SUM(P4:P8)</f>
        <v>2477.353500000002</v>
      </c>
      <c r="Q3" s="123">
        <f t="shared" ref="Q3" si="4">SUM(Q4:Q8)</f>
        <v>30003.503500000021</v>
      </c>
      <c r="R3" s="184"/>
    </row>
    <row r="4" spans="1:20" ht="30" x14ac:dyDescent="0.25">
      <c r="A4" s="165" t="s">
        <v>11</v>
      </c>
      <c r="B4" s="18">
        <v>196989</v>
      </c>
      <c r="C4" s="13">
        <f>0.09*B4</f>
        <v>17729.009999999998</v>
      </c>
      <c r="D4" s="13">
        <f>SUM(B4:C4)</f>
        <v>214718.01</v>
      </c>
      <c r="E4" s="27" t="s">
        <v>272</v>
      </c>
      <c r="F4" s="19">
        <v>0.18</v>
      </c>
      <c r="G4" s="20">
        <v>0.77</v>
      </c>
      <c r="H4" s="21">
        <f>1-F4-G4</f>
        <v>5.0000000000000044E-2</v>
      </c>
      <c r="I4" s="22">
        <f t="shared" ref="I4:I8" si="5">F4*B4</f>
        <v>35458.019999999997</v>
      </c>
      <c r="J4" s="130">
        <f t="shared" ref="J4:J8" si="6">F4*C4</f>
        <v>3191.2217999999998</v>
      </c>
      <c r="K4" s="131">
        <f t="shared" ref="K4:K8" si="7">J4+I4</f>
        <v>38649.241799999996</v>
      </c>
      <c r="L4" s="22">
        <f>G4*B4</f>
        <v>151681.53</v>
      </c>
      <c r="M4" s="24">
        <f>G4*C4</f>
        <v>13651.337699999998</v>
      </c>
      <c r="N4" s="23">
        <f>M4+L4</f>
        <v>165332.8677</v>
      </c>
      <c r="O4" s="128">
        <f>H4*B4</f>
        <v>9849.450000000008</v>
      </c>
      <c r="P4" s="129">
        <f>H4*C4</f>
        <v>886.45050000000072</v>
      </c>
      <c r="Q4" s="23">
        <f>P4+O4</f>
        <v>10735.900500000009</v>
      </c>
    </row>
    <row r="5" spans="1:20" ht="30" x14ac:dyDescent="0.25">
      <c r="A5" s="165" t="s">
        <v>12</v>
      </c>
      <c r="B5" s="18">
        <v>135418</v>
      </c>
      <c r="C5" s="13">
        <f t="shared" ref="C5:C8" si="8">0.09*B5</f>
        <v>12187.619999999999</v>
      </c>
      <c r="D5" s="13">
        <f t="shared" ref="D5:D8" si="9">SUM(B5:C5)</f>
        <v>147605.62</v>
      </c>
      <c r="E5" s="27" t="s">
        <v>272</v>
      </c>
      <c r="F5" s="19">
        <v>0.18</v>
      </c>
      <c r="G5" s="20">
        <v>0.77</v>
      </c>
      <c r="H5" s="21">
        <f t="shared" ref="H5:H8" si="10">1-F5-G5</f>
        <v>5.0000000000000044E-2</v>
      </c>
      <c r="I5" s="22">
        <f t="shared" si="5"/>
        <v>24375.239999999998</v>
      </c>
      <c r="J5" s="130">
        <f t="shared" si="6"/>
        <v>2193.7715999999996</v>
      </c>
      <c r="K5" s="131">
        <f t="shared" si="7"/>
        <v>26569.011599999998</v>
      </c>
      <c r="L5" s="22">
        <f t="shared" ref="L5:L8" si="11">G5*B5</f>
        <v>104271.86</v>
      </c>
      <c r="M5" s="24">
        <f t="shared" ref="M5:M8" si="12">G5*C5</f>
        <v>9384.4673999999995</v>
      </c>
      <c r="N5" s="23">
        <f t="shared" ref="N5:N8" si="13">M5+L5</f>
        <v>113656.32739999999</v>
      </c>
      <c r="O5" s="128">
        <f t="shared" ref="O5:O8" si="14">H5*B5</f>
        <v>6770.900000000006</v>
      </c>
      <c r="P5" s="129">
        <f t="shared" ref="P5:P8" si="15">H5*C5</f>
        <v>609.38100000000054</v>
      </c>
      <c r="Q5" s="23">
        <f t="shared" ref="Q5:Q8" si="16">P5+O5</f>
        <v>7380.2810000000063</v>
      </c>
    </row>
    <row r="6" spans="1:20" ht="30" x14ac:dyDescent="0.25">
      <c r="A6" s="165" t="s">
        <v>13</v>
      </c>
      <c r="B6" s="18">
        <v>121093</v>
      </c>
      <c r="C6" s="13">
        <f t="shared" si="8"/>
        <v>10898.369999999999</v>
      </c>
      <c r="D6" s="13">
        <f t="shared" si="9"/>
        <v>131991.37</v>
      </c>
      <c r="E6" s="27" t="s">
        <v>272</v>
      </c>
      <c r="F6" s="19">
        <v>0.18</v>
      </c>
      <c r="G6" s="20">
        <v>0.77</v>
      </c>
      <c r="H6" s="21">
        <f t="shared" si="10"/>
        <v>5.0000000000000044E-2</v>
      </c>
      <c r="I6" s="22">
        <f t="shared" si="5"/>
        <v>21796.739999999998</v>
      </c>
      <c r="J6" s="130">
        <f t="shared" si="6"/>
        <v>1961.7065999999998</v>
      </c>
      <c r="K6" s="131">
        <f t="shared" si="7"/>
        <v>23758.446599999999</v>
      </c>
      <c r="L6" s="22">
        <f t="shared" si="11"/>
        <v>93241.61</v>
      </c>
      <c r="M6" s="24">
        <f t="shared" si="12"/>
        <v>8391.7448999999997</v>
      </c>
      <c r="N6" s="23">
        <f t="shared" si="13"/>
        <v>101633.35490000001</v>
      </c>
      <c r="O6" s="128">
        <f t="shared" si="14"/>
        <v>6054.6500000000051</v>
      </c>
      <c r="P6" s="129">
        <f t="shared" si="15"/>
        <v>544.91850000000045</v>
      </c>
      <c r="Q6" s="23">
        <f t="shared" si="16"/>
        <v>6599.5685000000058</v>
      </c>
    </row>
    <row r="7" spans="1:20" ht="30" x14ac:dyDescent="0.25">
      <c r="A7" s="165" t="s">
        <v>14</v>
      </c>
      <c r="B7" s="18">
        <v>22073</v>
      </c>
      <c r="C7" s="13">
        <f t="shared" si="8"/>
        <v>1986.57</v>
      </c>
      <c r="D7" s="13">
        <f t="shared" ref="D7" si="17">SUM(B7:C7)</f>
        <v>24059.57</v>
      </c>
      <c r="E7" s="27" t="s">
        <v>272</v>
      </c>
      <c r="F7" s="19">
        <v>0.18</v>
      </c>
      <c r="G7" s="20">
        <v>0.77</v>
      </c>
      <c r="H7" s="21">
        <f t="shared" ref="H7" si="18">1-F7-G7</f>
        <v>5.0000000000000044E-2</v>
      </c>
      <c r="I7" s="22">
        <f t="shared" ref="I7" si="19">F7*B7</f>
        <v>3973.14</v>
      </c>
      <c r="J7" s="130">
        <f t="shared" ref="J7" si="20">F7*C7</f>
        <v>357.58259999999996</v>
      </c>
      <c r="K7" s="131">
        <f t="shared" ref="K7" si="21">J7+I7</f>
        <v>4330.7226000000001</v>
      </c>
      <c r="L7" s="22">
        <f t="shared" ref="L7" si="22">G7*B7</f>
        <v>16996.21</v>
      </c>
      <c r="M7" s="24">
        <f t="shared" ref="M7" si="23">G7*C7</f>
        <v>1529.6588999999999</v>
      </c>
      <c r="N7" s="23">
        <f t="shared" ref="N7" si="24">M7+L7</f>
        <v>18525.868899999998</v>
      </c>
      <c r="O7" s="128">
        <f t="shared" ref="O7" si="25">H7*B7</f>
        <v>1103.650000000001</v>
      </c>
      <c r="P7" s="129">
        <f t="shared" ref="P7" si="26">H7*C7</f>
        <v>99.328500000000091</v>
      </c>
      <c r="Q7" s="23">
        <f t="shared" ref="Q7" si="27">P7+O7</f>
        <v>1202.9785000000011</v>
      </c>
    </row>
    <row r="8" spans="1:20" ht="30" x14ac:dyDescent="0.25">
      <c r="A8" s="165" t="s">
        <v>138</v>
      </c>
      <c r="B8" s="18">
        <f>550523-475573</f>
        <v>74950</v>
      </c>
      <c r="C8" s="13">
        <f t="shared" si="8"/>
        <v>6745.5</v>
      </c>
      <c r="D8" s="13">
        <f t="shared" si="9"/>
        <v>81695.5</v>
      </c>
      <c r="E8" s="27" t="s">
        <v>272</v>
      </c>
      <c r="F8" s="19">
        <v>0.18</v>
      </c>
      <c r="G8" s="20">
        <v>0.77</v>
      </c>
      <c r="H8" s="21">
        <f t="shared" si="10"/>
        <v>5.0000000000000044E-2</v>
      </c>
      <c r="I8" s="22">
        <f t="shared" si="5"/>
        <v>13491</v>
      </c>
      <c r="J8" s="130">
        <f t="shared" si="6"/>
        <v>1214.19</v>
      </c>
      <c r="K8" s="131">
        <f t="shared" si="7"/>
        <v>14705.19</v>
      </c>
      <c r="L8" s="22">
        <f t="shared" si="11"/>
        <v>57711.5</v>
      </c>
      <c r="M8" s="24">
        <f t="shared" si="12"/>
        <v>5194.0349999999999</v>
      </c>
      <c r="N8" s="23">
        <f t="shared" si="13"/>
        <v>62905.535000000003</v>
      </c>
      <c r="O8" s="128">
        <f t="shared" si="14"/>
        <v>3747.5000000000032</v>
      </c>
      <c r="P8" s="129">
        <f t="shared" si="15"/>
        <v>337.27500000000032</v>
      </c>
      <c r="Q8" s="23">
        <f t="shared" si="16"/>
        <v>4084.7750000000033</v>
      </c>
    </row>
    <row r="10" spans="1:20" s="99" customFormat="1" x14ac:dyDescent="0.25">
      <c r="A10" s="166" t="s">
        <v>15</v>
      </c>
      <c r="B10" s="100">
        <f>SUM(B11)</f>
        <v>0</v>
      </c>
      <c r="C10" s="100">
        <f>SUM(C11)</f>
        <v>0</v>
      </c>
      <c r="D10" s="100">
        <f t="shared" ref="D10" si="28">B10+C10</f>
        <v>0</v>
      </c>
      <c r="E10" s="110"/>
      <c r="F10" s="14">
        <f>F11</f>
        <v>0.18</v>
      </c>
      <c r="G10" s="25">
        <f>G11</f>
        <v>0.77</v>
      </c>
      <c r="H10" s="14">
        <f>1-G10-F10</f>
        <v>4.9999999999999989E-2</v>
      </c>
      <c r="I10" s="107">
        <f t="shared" ref="I10:P10" si="29">SUM(I11)</f>
        <v>0</v>
      </c>
      <c r="J10" s="108">
        <f t="shared" si="29"/>
        <v>0</v>
      </c>
      <c r="K10" s="109">
        <f t="shared" si="29"/>
        <v>0</v>
      </c>
      <c r="L10" s="107">
        <f t="shared" si="29"/>
        <v>0</v>
      </c>
      <c r="M10" s="110">
        <f t="shared" si="29"/>
        <v>0</v>
      </c>
      <c r="N10" s="109">
        <f t="shared" si="29"/>
        <v>0</v>
      </c>
      <c r="O10" s="101">
        <f t="shared" si="29"/>
        <v>0</v>
      </c>
      <c r="P10" s="6">
        <f t="shared" si="29"/>
        <v>0</v>
      </c>
      <c r="Q10" s="109">
        <f>P10+O10</f>
        <v>0</v>
      </c>
      <c r="R10" s="146"/>
    </row>
    <row r="11" spans="1:20" ht="30" x14ac:dyDescent="0.25">
      <c r="A11" s="165" t="s">
        <v>100</v>
      </c>
      <c r="B11" s="18">
        <v>0</v>
      </c>
      <c r="C11" s="13">
        <f t="shared" ref="C11" si="30">0.09*B11</f>
        <v>0</v>
      </c>
      <c r="D11" s="13">
        <f t="shared" ref="D11" si="31">SUM(B11:C11)</f>
        <v>0</v>
      </c>
      <c r="E11" s="27" t="s">
        <v>272</v>
      </c>
      <c r="F11" s="19">
        <v>0.18</v>
      </c>
      <c r="G11" s="20">
        <v>0.77</v>
      </c>
      <c r="H11" s="21">
        <f>1-F11-G11</f>
        <v>5.0000000000000044E-2</v>
      </c>
      <c r="I11" s="22">
        <f t="shared" ref="I11" si="32">F11*B11</f>
        <v>0</v>
      </c>
      <c r="J11" s="130">
        <f t="shared" ref="J11" si="33">F11*C11</f>
        <v>0</v>
      </c>
      <c r="K11" s="131">
        <f t="shared" ref="K11" si="34">J11+I11</f>
        <v>0</v>
      </c>
      <c r="L11" s="22">
        <f>G11*B11</f>
        <v>0</v>
      </c>
      <c r="M11" s="24">
        <f>G11*C11</f>
        <v>0</v>
      </c>
      <c r="N11" s="23">
        <f>M11+L11</f>
        <v>0</v>
      </c>
      <c r="O11" s="22">
        <f>H11*B11</f>
        <v>0</v>
      </c>
      <c r="P11" s="24">
        <f>H11*C11</f>
        <v>0</v>
      </c>
      <c r="Q11" s="23">
        <f>P11+O11</f>
        <v>0</v>
      </c>
    </row>
    <row r="13" spans="1:20" s="99" customFormat="1" x14ac:dyDescent="0.25">
      <c r="A13" s="164" t="s">
        <v>17</v>
      </c>
      <c r="B13" s="100">
        <f>SUM(B14:B23)</f>
        <v>165625</v>
      </c>
      <c r="C13" s="100">
        <f t="shared" ref="C13:D13" si="35">SUM(C14:C23)</f>
        <v>14906.249999999998</v>
      </c>
      <c r="D13" s="100">
        <f t="shared" si="35"/>
        <v>180531.25000000003</v>
      </c>
      <c r="E13" s="110"/>
      <c r="F13" s="14">
        <f>AVERAGE(F14:F23)</f>
        <v>0.16199999999999998</v>
      </c>
      <c r="G13" s="14">
        <f>AVERAGE(G14:G23)</f>
        <v>0.79299999999999982</v>
      </c>
      <c r="H13" s="14">
        <f>1-G13-F13</f>
        <v>4.5000000000000207E-2</v>
      </c>
      <c r="I13" s="107">
        <f t="shared" ref="I13:Q13" si="36">SUM(I14:I23)</f>
        <v>24583.679999999997</v>
      </c>
      <c r="J13" s="124">
        <f t="shared" si="36"/>
        <v>2212.5312000000004</v>
      </c>
      <c r="K13" s="124">
        <f t="shared" si="36"/>
        <v>26796.211200000002</v>
      </c>
      <c r="L13" s="107">
        <f t="shared" si="36"/>
        <v>134212.51999999999</v>
      </c>
      <c r="M13" s="124">
        <f t="shared" si="36"/>
        <v>12079.126800000002</v>
      </c>
      <c r="N13" s="124">
        <f t="shared" si="36"/>
        <v>146291.64679999999</v>
      </c>
      <c r="O13" s="107">
        <f t="shared" si="36"/>
        <v>6828.8000000000056</v>
      </c>
      <c r="P13" s="124">
        <f t="shared" si="36"/>
        <v>614.59200000000044</v>
      </c>
      <c r="Q13" s="124">
        <f t="shared" si="36"/>
        <v>7443.3920000000062</v>
      </c>
      <c r="R13" s="146"/>
    </row>
    <row r="14" spans="1:20" ht="30" x14ac:dyDescent="0.25">
      <c r="A14" s="165" t="s">
        <v>101</v>
      </c>
      <c r="B14" s="18">
        <v>29049</v>
      </c>
      <c r="C14" s="13">
        <f>0.09*B14</f>
        <v>2614.41</v>
      </c>
      <c r="D14" s="13">
        <f>SUM(B14:C14)</f>
        <v>31663.41</v>
      </c>
      <c r="E14" s="27" t="s">
        <v>272</v>
      </c>
      <c r="F14" s="19">
        <v>0</v>
      </c>
      <c r="G14" s="20">
        <v>1</v>
      </c>
      <c r="H14" s="21">
        <f>1-F14-G14</f>
        <v>0</v>
      </c>
      <c r="I14" s="22">
        <f>F14*B14</f>
        <v>0</v>
      </c>
      <c r="J14" s="130">
        <f>F14*C14</f>
        <v>0</v>
      </c>
      <c r="K14" s="131">
        <f>J14+I14</f>
        <v>0</v>
      </c>
      <c r="L14" s="22">
        <f>G14*B14</f>
        <v>29049</v>
      </c>
      <c r="M14" s="24">
        <f>G14*C14</f>
        <v>2614.41</v>
      </c>
      <c r="N14" s="23">
        <f>M14+L14</f>
        <v>31663.41</v>
      </c>
      <c r="O14" s="22">
        <f>H14*B14</f>
        <v>0</v>
      </c>
      <c r="P14" s="24">
        <f>H14*C14</f>
        <v>0</v>
      </c>
      <c r="Q14" s="23">
        <f>P14+O14</f>
        <v>0</v>
      </c>
    </row>
    <row r="15" spans="1:20" x14ac:dyDescent="0.25">
      <c r="A15" s="165" t="s">
        <v>19</v>
      </c>
      <c r="B15" s="18">
        <v>80000</v>
      </c>
      <c r="C15" s="13">
        <f>0.09*B15</f>
        <v>7200</v>
      </c>
      <c r="D15" s="13">
        <f>SUM(B15:C15)</f>
        <v>87200</v>
      </c>
      <c r="E15" s="27" t="s">
        <v>148</v>
      </c>
      <c r="F15" s="19">
        <v>0.18</v>
      </c>
      <c r="G15" s="20">
        <v>0.77</v>
      </c>
      <c r="H15" s="21">
        <f>1-F15-G15</f>
        <v>5.0000000000000044E-2</v>
      </c>
      <c r="I15" s="22">
        <f>F15*B15</f>
        <v>14400</v>
      </c>
      <c r="J15" s="130">
        <f>F15*C15</f>
        <v>1296</v>
      </c>
      <c r="K15" s="131">
        <f>J15+I15</f>
        <v>15696</v>
      </c>
      <c r="L15" s="22">
        <f>G15*B15</f>
        <v>61600</v>
      </c>
      <c r="M15" s="24">
        <f>G15*C15</f>
        <v>5544</v>
      </c>
      <c r="N15" s="23">
        <f>M15+L15</f>
        <v>67144</v>
      </c>
      <c r="O15" s="22">
        <f>H15*B15</f>
        <v>4000.0000000000036</v>
      </c>
      <c r="P15" s="24">
        <f>H15*C15</f>
        <v>360.00000000000034</v>
      </c>
      <c r="Q15" s="23">
        <f>P15+O15</f>
        <v>4360.0000000000036</v>
      </c>
    </row>
    <row r="16" spans="1:20" x14ac:dyDescent="0.25">
      <c r="A16" s="165" t="s">
        <v>20</v>
      </c>
      <c r="B16" s="18">
        <v>22150</v>
      </c>
      <c r="C16" s="13">
        <f>0.09*B16</f>
        <v>1993.5</v>
      </c>
      <c r="D16" s="13">
        <f>SUM(B16:C16)</f>
        <v>24143.5</v>
      </c>
      <c r="E16" s="27" t="s">
        <v>148</v>
      </c>
      <c r="F16" s="19">
        <v>0.18</v>
      </c>
      <c r="G16" s="20">
        <v>0.77</v>
      </c>
      <c r="H16" s="21">
        <f>1-F16-G16</f>
        <v>5.0000000000000044E-2</v>
      </c>
      <c r="I16" s="22">
        <f>F16*B16</f>
        <v>3987</v>
      </c>
      <c r="J16" s="130">
        <f>F16*C16</f>
        <v>358.83</v>
      </c>
      <c r="K16" s="131">
        <f>J16+I16</f>
        <v>4345.83</v>
      </c>
      <c r="L16" s="22">
        <f>G16*B16</f>
        <v>17055.5</v>
      </c>
      <c r="M16" s="24">
        <f>G16*C16</f>
        <v>1534.9950000000001</v>
      </c>
      <c r="N16" s="23">
        <f>M16+L16</f>
        <v>18590.494999999999</v>
      </c>
      <c r="O16" s="22">
        <f>H16*B16</f>
        <v>1107.5000000000009</v>
      </c>
      <c r="P16" s="24">
        <f>H16*C16</f>
        <v>99.675000000000082</v>
      </c>
      <c r="Q16" s="23">
        <f>P16+O16</f>
        <v>1207.1750000000011</v>
      </c>
    </row>
    <row r="17" spans="1:20" x14ac:dyDescent="0.25">
      <c r="A17" s="165" t="s">
        <v>102</v>
      </c>
      <c r="B17" s="18">
        <v>18000</v>
      </c>
      <c r="C17" s="13">
        <f>0.09*B17</f>
        <v>1620</v>
      </c>
      <c r="D17" s="13">
        <f>SUM(B17:C17)</f>
        <v>19620</v>
      </c>
      <c r="E17" s="27" t="s">
        <v>148</v>
      </c>
      <c r="F17" s="19">
        <v>0.18</v>
      </c>
      <c r="G17" s="20">
        <v>0.77</v>
      </c>
      <c r="H17" s="21">
        <f>1-F17-G17</f>
        <v>5.0000000000000044E-2</v>
      </c>
      <c r="I17" s="22">
        <f t="shared" ref="I17:I23" si="37">F17*B17</f>
        <v>3240</v>
      </c>
      <c r="J17" s="130">
        <f t="shared" ref="J17:J23" si="38">F17*C17</f>
        <v>291.59999999999997</v>
      </c>
      <c r="K17" s="131">
        <f t="shared" ref="K17:K23" si="39">J17+I17</f>
        <v>3531.6</v>
      </c>
      <c r="L17" s="22">
        <f t="shared" ref="L17:L23" si="40">G17*B17</f>
        <v>13860</v>
      </c>
      <c r="M17" s="24">
        <f t="shared" ref="M17:M23" si="41">G17*C17</f>
        <v>1247.4000000000001</v>
      </c>
      <c r="N17" s="23">
        <f t="shared" ref="N17:N23" si="42">M17+L17</f>
        <v>15107.4</v>
      </c>
      <c r="O17" s="22">
        <f t="shared" ref="O17:O23" si="43">H17*B17</f>
        <v>900.0000000000008</v>
      </c>
      <c r="P17" s="24">
        <f t="shared" ref="P17:P23" si="44">H17*C17</f>
        <v>81.000000000000071</v>
      </c>
      <c r="Q17" s="23">
        <f t="shared" ref="Q17:Q23" si="45">P17+O17</f>
        <v>981.00000000000091</v>
      </c>
    </row>
    <row r="18" spans="1:20" x14ac:dyDescent="0.25">
      <c r="A18" s="165" t="s">
        <v>22</v>
      </c>
      <c r="B18" s="18">
        <v>3466</v>
      </c>
      <c r="C18" s="13">
        <f t="shared" ref="C18:C23" si="46">0.09*B18</f>
        <v>311.94</v>
      </c>
      <c r="D18" s="13">
        <f t="shared" ref="D18:D23" si="47">SUM(B18:C18)</f>
        <v>3777.94</v>
      </c>
      <c r="E18" s="27" t="s">
        <v>148</v>
      </c>
      <c r="F18" s="19">
        <v>0.18</v>
      </c>
      <c r="G18" s="20">
        <v>0.77</v>
      </c>
      <c r="H18" s="21">
        <f t="shared" ref="H18:H23" si="48">1-F18-G18</f>
        <v>5.0000000000000044E-2</v>
      </c>
      <c r="I18" s="22">
        <f t="shared" si="37"/>
        <v>623.88</v>
      </c>
      <c r="J18" s="130">
        <f t="shared" si="38"/>
        <v>56.1492</v>
      </c>
      <c r="K18" s="131">
        <f t="shared" si="39"/>
        <v>680.02919999999995</v>
      </c>
      <c r="L18" s="22">
        <f t="shared" si="40"/>
        <v>2668.82</v>
      </c>
      <c r="M18" s="24">
        <f t="shared" si="41"/>
        <v>240.19380000000001</v>
      </c>
      <c r="N18" s="23">
        <f t="shared" si="42"/>
        <v>2909.0138000000002</v>
      </c>
      <c r="O18" s="22">
        <f t="shared" si="43"/>
        <v>173.30000000000015</v>
      </c>
      <c r="P18" s="24">
        <f t="shared" si="44"/>
        <v>15.597000000000014</v>
      </c>
      <c r="Q18" s="23">
        <f t="shared" si="45"/>
        <v>188.89700000000016</v>
      </c>
    </row>
    <row r="19" spans="1:20" x14ac:dyDescent="0.25">
      <c r="A19" s="165" t="s">
        <v>23</v>
      </c>
      <c r="B19" s="18">
        <v>374</v>
      </c>
      <c r="C19" s="13">
        <f t="shared" si="46"/>
        <v>33.659999999999997</v>
      </c>
      <c r="D19" s="13">
        <f t="shared" si="47"/>
        <v>407.65999999999997</v>
      </c>
      <c r="E19" s="27" t="s">
        <v>148</v>
      </c>
      <c r="F19" s="19">
        <v>0.18</v>
      </c>
      <c r="G19" s="20">
        <v>0.77</v>
      </c>
      <c r="H19" s="21">
        <f t="shared" si="48"/>
        <v>5.0000000000000044E-2</v>
      </c>
      <c r="I19" s="22">
        <f t="shared" si="37"/>
        <v>67.319999999999993</v>
      </c>
      <c r="J19" s="130">
        <f t="shared" si="38"/>
        <v>6.0587999999999989</v>
      </c>
      <c r="K19" s="131">
        <f t="shared" si="39"/>
        <v>73.378799999999998</v>
      </c>
      <c r="L19" s="22">
        <f t="shared" si="40"/>
        <v>287.98</v>
      </c>
      <c r="M19" s="24">
        <f t="shared" si="41"/>
        <v>25.918199999999999</v>
      </c>
      <c r="N19" s="23">
        <f t="shared" si="42"/>
        <v>313.89820000000003</v>
      </c>
      <c r="O19" s="22">
        <f t="shared" si="43"/>
        <v>18.700000000000017</v>
      </c>
      <c r="P19" s="24">
        <f t="shared" si="44"/>
        <v>1.6830000000000014</v>
      </c>
      <c r="Q19" s="23">
        <f t="shared" si="45"/>
        <v>20.383000000000017</v>
      </c>
    </row>
    <row r="20" spans="1:20" x14ac:dyDescent="0.25">
      <c r="A20" s="165" t="s">
        <v>24</v>
      </c>
      <c r="B20" s="18">
        <v>82</v>
      </c>
      <c r="C20" s="13">
        <f t="shared" si="46"/>
        <v>7.38</v>
      </c>
      <c r="D20" s="13">
        <f t="shared" si="47"/>
        <v>89.38</v>
      </c>
      <c r="E20" s="27" t="s">
        <v>148</v>
      </c>
      <c r="F20" s="19">
        <v>0.18</v>
      </c>
      <c r="G20" s="20">
        <v>0.77</v>
      </c>
      <c r="H20" s="21">
        <f t="shared" si="48"/>
        <v>5.0000000000000044E-2</v>
      </c>
      <c r="I20" s="22">
        <f t="shared" si="37"/>
        <v>14.76</v>
      </c>
      <c r="J20" s="130">
        <f t="shared" si="38"/>
        <v>1.3284</v>
      </c>
      <c r="K20" s="131">
        <f t="shared" si="39"/>
        <v>16.0884</v>
      </c>
      <c r="L20" s="22">
        <f t="shared" si="40"/>
        <v>63.14</v>
      </c>
      <c r="M20" s="24">
        <f t="shared" si="41"/>
        <v>5.6825999999999999</v>
      </c>
      <c r="N20" s="23">
        <f t="shared" si="42"/>
        <v>68.822599999999994</v>
      </c>
      <c r="O20" s="22">
        <f t="shared" si="43"/>
        <v>4.1000000000000032</v>
      </c>
      <c r="P20" s="24">
        <f t="shared" si="44"/>
        <v>0.36900000000000033</v>
      </c>
      <c r="Q20" s="23">
        <f t="shared" si="45"/>
        <v>4.4690000000000039</v>
      </c>
    </row>
    <row r="21" spans="1:20" x14ac:dyDescent="0.25">
      <c r="A21" s="165" t="s">
        <v>25</v>
      </c>
      <c r="B21" s="18">
        <v>713</v>
      </c>
      <c r="C21" s="13">
        <f t="shared" si="46"/>
        <v>64.17</v>
      </c>
      <c r="D21" s="13">
        <f t="shared" si="47"/>
        <v>777.17</v>
      </c>
      <c r="E21" s="27" t="s">
        <v>148</v>
      </c>
      <c r="F21" s="19">
        <v>0.18</v>
      </c>
      <c r="G21" s="20">
        <v>0.77</v>
      </c>
      <c r="H21" s="21">
        <f t="shared" si="48"/>
        <v>5.0000000000000044E-2</v>
      </c>
      <c r="I21" s="22">
        <f t="shared" si="37"/>
        <v>128.34</v>
      </c>
      <c r="J21" s="130">
        <f t="shared" si="38"/>
        <v>11.550599999999999</v>
      </c>
      <c r="K21" s="131">
        <f t="shared" si="39"/>
        <v>139.89060000000001</v>
      </c>
      <c r="L21" s="22">
        <f t="shared" si="40"/>
        <v>549.01</v>
      </c>
      <c r="M21" s="24">
        <f t="shared" si="41"/>
        <v>49.410900000000005</v>
      </c>
      <c r="N21" s="23">
        <f t="shared" si="42"/>
        <v>598.42089999999996</v>
      </c>
      <c r="O21" s="22">
        <f t="shared" si="43"/>
        <v>35.650000000000034</v>
      </c>
      <c r="P21" s="24">
        <f t="shared" si="44"/>
        <v>3.208500000000003</v>
      </c>
      <c r="Q21" s="23">
        <f t="shared" si="45"/>
        <v>38.858500000000035</v>
      </c>
    </row>
    <row r="22" spans="1:20" x14ac:dyDescent="0.25">
      <c r="A22" s="165" t="s">
        <v>26</v>
      </c>
      <c r="B22" s="18">
        <v>1244</v>
      </c>
      <c r="C22" s="13">
        <f t="shared" si="46"/>
        <v>111.96</v>
      </c>
      <c r="D22" s="13">
        <f t="shared" si="47"/>
        <v>1355.96</v>
      </c>
      <c r="E22" s="27" t="s">
        <v>148</v>
      </c>
      <c r="F22" s="19">
        <v>0.18</v>
      </c>
      <c r="G22" s="20">
        <v>0.77</v>
      </c>
      <c r="H22" s="21">
        <f t="shared" si="48"/>
        <v>5.0000000000000044E-2</v>
      </c>
      <c r="I22" s="22">
        <f t="shared" si="37"/>
        <v>223.92</v>
      </c>
      <c r="J22" s="130">
        <f t="shared" si="38"/>
        <v>20.152799999999999</v>
      </c>
      <c r="K22" s="131">
        <f t="shared" si="39"/>
        <v>244.07279999999997</v>
      </c>
      <c r="L22" s="22">
        <f t="shared" si="40"/>
        <v>957.88</v>
      </c>
      <c r="M22" s="24">
        <f t="shared" si="41"/>
        <v>86.209199999999996</v>
      </c>
      <c r="N22" s="23">
        <f t="shared" si="42"/>
        <v>1044.0891999999999</v>
      </c>
      <c r="O22" s="22">
        <f t="shared" si="43"/>
        <v>62.200000000000053</v>
      </c>
      <c r="P22" s="24">
        <f t="shared" si="44"/>
        <v>5.5980000000000043</v>
      </c>
      <c r="Q22" s="23">
        <f t="shared" si="45"/>
        <v>67.798000000000059</v>
      </c>
    </row>
    <row r="23" spans="1:20" x14ac:dyDescent="0.25">
      <c r="A23" s="165" t="s">
        <v>29</v>
      </c>
      <c r="B23" s="18">
        <v>10547</v>
      </c>
      <c r="C23" s="13">
        <f t="shared" si="46"/>
        <v>949.23</v>
      </c>
      <c r="D23" s="13">
        <f t="shared" si="47"/>
        <v>11496.23</v>
      </c>
      <c r="E23" s="27" t="s">
        <v>148</v>
      </c>
      <c r="F23" s="19">
        <v>0.18</v>
      </c>
      <c r="G23" s="20">
        <v>0.77</v>
      </c>
      <c r="H23" s="21">
        <f t="shared" si="48"/>
        <v>5.0000000000000044E-2</v>
      </c>
      <c r="I23" s="22">
        <f t="shared" si="37"/>
        <v>1898.46</v>
      </c>
      <c r="J23" s="130">
        <f t="shared" si="38"/>
        <v>170.8614</v>
      </c>
      <c r="K23" s="131">
        <f t="shared" si="39"/>
        <v>2069.3213999999998</v>
      </c>
      <c r="L23" s="22">
        <f t="shared" si="40"/>
        <v>8121.1900000000005</v>
      </c>
      <c r="M23" s="24">
        <f t="shared" si="41"/>
        <v>730.90710000000001</v>
      </c>
      <c r="N23" s="23">
        <f t="shared" si="42"/>
        <v>8852.0971000000009</v>
      </c>
      <c r="O23" s="22">
        <f t="shared" si="43"/>
        <v>527.35000000000048</v>
      </c>
      <c r="P23" s="24">
        <f t="shared" si="44"/>
        <v>47.461500000000044</v>
      </c>
      <c r="Q23" s="23">
        <f t="shared" si="45"/>
        <v>574.81150000000048</v>
      </c>
    </row>
    <row r="24" spans="1:20" x14ac:dyDescent="0.25">
      <c r="A24" s="165"/>
    </row>
    <row r="25" spans="1:20" s="99" customFormat="1" x14ac:dyDescent="0.25">
      <c r="A25" s="164" t="s">
        <v>30</v>
      </c>
      <c r="B25" s="100">
        <f>SUM(B26:B29)</f>
        <v>13277</v>
      </c>
      <c r="C25" s="100">
        <f>B25*0.09</f>
        <v>1194.93</v>
      </c>
      <c r="D25" s="100">
        <f>C25+B25</f>
        <v>14471.93</v>
      </c>
      <c r="E25" s="110"/>
      <c r="F25" s="14">
        <f>AVERAGE(F26:F29)</f>
        <v>0.18</v>
      </c>
      <c r="G25" s="14">
        <f>AVERAGE(G26:G29)</f>
        <v>0.77</v>
      </c>
      <c r="H25" s="14">
        <f>1-G25-F25</f>
        <v>4.9999999999999989E-2</v>
      </c>
      <c r="I25" s="107">
        <f t="shared" ref="I25:Q25" si="49">SUM(I26:I29)</f>
        <v>2389.86</v>
      </c>
      <c r="J25" s="108">
        <f t="shared" si="49"/>
        <v>215.0874</v>
      </c>
      <c r="K25" s="109">
        <f t="shared" si="49"/>
        <v>2604.9474</v>
      </c>
      <c r="L25" s="107">
        <f t="shared" si="49"/>
        <v>10223.290000000001</v>
      </c>
      <c r="M25" s="110">
        <f t="shared" si="49"/>
        <v>920.09609999999998</v>
      </c>
      <c r="N25" s="109">
        <f t="shared" si="49"/>
        <v>11143.3861</v>
      </c>
      <c r="O25" s="101">
        <f t="shared" si="49"/>
        <v>663.85000000000059</v>
      </c>
      <c r="P25" s="6">
        <f t="shared" si="49"/>
        <v>59.746500000000047</v>
      </c>
      <c r="Q25" s="109">
        <f t="shared" si="49"/>
        <v>723.59650000000056</v>
      </c>
      <c r="R25" s="146"/>
    </row>
    <row r="26" spans="1:20" x14ac:dyDescent="0.25">
      <c r="A26" s="165" t="s">
        <v>31</v>
      </c>
      <c r="B26" s="18">
        <v>7000</v>
      </c>
      <c r="C26" s="13">
        <f t="shared" ref="C26:C29" si="50">0.09*B26</f>
        <v>630</v>
      </c>
      <c r="D26" s="13">
        <f t="shared" ref="D26" si="51">SUM(B26:C26)</f>
        <v>7630</v>
      </c>
      <c r="E26" s="27" t="s">
        <v>148</v>
      </c>
      <c r="F26" s="19">
        <v>0.18</v>
      </c>
      <c r="G26" s="20">
        <v>0.77</v>
      </c>
      <c r="H26" s="21">
        <f>1-F26-G26</f>
        <v>5.0000000000000044E-2</v>
      </c>
      <c r="I26" s="22">
        <f t="shared" ref="I26:I29" si="52">F26*B26</f>
        <v>1260</v>
      </c>
      <c r="J26" s="130">
        <f t="shared" ref="J26:J29" si="53">F26*C26</f>
        <v>113.39999999999999</v>
      </c>
      <c r="K26" s="131">
        <f t="shared" ref="K26:K29" si="54">J26+I26</f>
        <v>1373.4</v>
      </c>
      <c r="L26" s="22">
        <f t="shared" ref="L26:L29" si="55">G26*B26</f>
        <v>5390</v>
      </c>
      <c r="M26" s="24">
        <f t="shared" ref="M26:M29" si="56">G26*C26</f>
        <v>485.1</v>
      </c>
      <c r="N26" s="23">
        <f t="shared" ref="N26:N29" si="57">M26+L26</f>
        <v>5875.1</v>
      </c>
      <c r="O26" s="22">
        <f t="shared" ref="O26:O29" si="58">H26*B26</f>
        <v>350.00000000000028</v>
      </c>
      <c r="P26" s="24">
        <f t="shared" ref="P26:P29" si="59">H26*C26</f>
        <v>31.500000000000028</v>
      </c>
      <c r="Q26" s="23">
        <f t="shared" ref="Q26:Q29" si="60">P26+O26</f>
        <v>381.50000000000034</v>
      </c>
    </row>
    <row r="27" spans="1:20" x14ac:dyDescent="0.25">
      <c r="A27" s="165" t="s">
        <v>32</v>
      </c>
      <c r="B27" s="18">
        <v>247</v>
      </c>
      <c r="C27" s="13">
        <f t="shared" si="50"/>
        <v>22.23</v>
      </c>
      <c r="D27" s="13">
        <f t="shared" ref="D27:D29" si="61">SUM(B27:C27)</f>
        <v>269.23</v>
      </c>
      <c r="E27" s="27" t="s">
        <v>148</v>
      </c>
      <c r="F27" s="19">
        <v>0.18</v>
      </c>
      <c r="G27" s="20">
        <v>0.77</v>
      </c>
      <c r="H27" s="21">
        <f t="shared" ref="H27:H29" si="62">1-F27-G27</f>
        <v>5.0000000000000044E-2</v>
      </c>
      <c r="I27" s="22">
        <f t="shared" si="52"/>
        <v>44.46</v>
      </c>
      <c r="J27" s="130">
        <f t="shared" si="53"/>
        <v>4.0014000000000003</v>
      </c>
      <c r="K27" s="131">
        <f t="shared" si="54"/>
        <v>48.461399999999998</v>
      </c>
      <c r="L27" s="22">
        <f t="shared" si="55"/>
        <v>190.19</v>
      </c>
      <c r="M27" s="24">
        <f t="shared" si="56"/>
        <v>17.117100000000001</v>
      </c>
      <c r="N27" s="23">
        <f t="shared" si="57"/>
        <v>207.30709999999999</v>
      </c>
      <c r="O27" s="22">
        <f t="shared" si="58"/>
        <v>12.35000000000001</v>
      </c>
      <c r="P27" s="24">
        <f t="shared" si="59"/>
        <v>1.111500000000001</v>
      </c>
      <c r="Q27" s="23">
        <f t="shared" si="60"/>
        <v>13.461500000000012</v>
      </c>
    </row>
    <row r="28" spans="1:20" x14ac:dyDescent="0.25">
      <c r="A28" s="165" t="s">
        <v>33</v>
      </c>
      <c r="B28" s="18">
        <v>2030</v>
      </c>
      <c r="C28" s="13">
        <f t="shared" si="50"/>
        <v>182.7</v>
      </c>
      <c r="D28" s="13">
        <f t="shared" si="61"/>
        <v>2212.6999999999998</v>
      </c>
      <c r="E28" s="27" t="s">
        <v>148</v>
      </c>
      <c r="F28" s="19">
        <v>0.18</v>
      </c>
      <c r="G28" s="20">
        <v>0.77</v>
      </c>
      <c r="H28" s="21">
        <f t="shared" si="62"/>
        <v>5.0000000000000044E-2</v>
      </c>
      <c r="I28" s="22">
        <f t="shared" si="52"/>
        <v>365.4</v>
      </c>
      <c r="J28" s="130">
        <f t="shared" si="53"/>
        <v>32.885999999999996</v>
      </c>
      <c r="K28" s="131">
        <f t="shared" si="54"/>
        <v>398.28599999999994</v>
      </c>
      <c r="L28" s="22">
        <f t="shared" si="55"/>
        <v>1563.1000000000001</v>
      </c>
      <c r="M28" s="24">
        <f t="shared" si="56"/>
        <v>140.679</v>
      </c>
      <c r="N28" s="23">
        <f t="shared" si="57"/>
        <v>1703.7790000000002</v>
      </c>
      <c r="O28" s="22">
        <f t="shared" si="58"/>
        <v>101.50000000000009</v>
      </c>
      <c r="P28" s="24">
        <f t="shared" si="59"/>
        <v>9.1350000000000069</v>
      </c>
      <c r="Q28" s="23">
        <f t="shared" si="60"/>
        <v>110.63500000000009</v>
      </c>
    </row>
    <row r="29" spans="1:20" x14ac:dyDescent="0.25">
      <c r="A29" s="165" t="s">
        <v>34</v>
      </c>
      <c r="B29" s="18">
        <v>4000</v>
      </c>
      <c r="C29" s="13">
        <f t="shared" si="50"/>
        <v>360</v>
      </c>
      <c r="D29" s="13">
        <f t="shared" si="61"/>
        <v>4360</v>
      </c>
      <c r="E29" s="27" t="s">
        <v>148</v>
      </c>
      <c r="F29" s="19">
        <v>0.18</v>
      </c>
      <c r="G29" s="20">
        <v>0.77</v>
      </c>
      <c r="H29" s="21">
        <f t="shared" si="62"/>
        <v>5.0000000000000044E-2</v>
      </c>
      <c r="I29" s="22">
        <f t="shared" si="52"/>
        <v>720</v>
      </c>
      <c r="J29" s="130">
        <f t="shared" si="53"/>
        <v>64.8</v>
      </c>
      <c r="K29" s="131">
        <f t="shared" si="54"/>
        <v>784.8</v>
      </c>
      <c r="L29" s="22">
        <f t="shared" si="55"/>
        <v>3080</v>
      </c>
      <c r="M29" s="24">
        <f t="shared" si="56"/>
        <v>277.2</v>
      </c>
      <c r="N29" s="23">
        <f t="shared" si="57"/>
        <v>3357.2</v>
      </c>
      <c r="O29" s="22">
        <f t="shared" si="58"/>
        <v>200.00000000000017</v>
      </c>
      <c r="P29" s="24">
        <f t="shared" si="59"/>
        <v>18.000000000000014</v>
      </c>
      <c r="Q29" s="23">
        <f t="shared" si="60"/>
        <v>218.00000000000017</v>
      </c>
    </row>
    <row r="30" spans="1:20" s="35" customFormat="1" x14ac:dyDescent="0.25">
      <c r="A30" s="167"/>
      <c r="B30" s="28"/>
      <c r="C30" s="28"/>
      <c r="D30" s="28"/>
      <c r="E30" s="16"/>
      <c r="F30" s="29"/>
      <c r="G30" s="30"/>
      <c r="H30" s="30"/>
      <c r="I30" s="15"/>
      <c r="J30" s="34"/>
      <c r="K30" s="32"/>
      <c r="L30" s="15"/>
      <c r="M30" s="16"/>
      <c r="N30" s="60"/>
      <c r="O30" s="15"/>
      <c r="P30" s="16"/>
      <c r="Q30" s="32"/>
      <c r="R30" s="147"/>
    </row>
    <row r="31" spans="1:20" s="99" customFormat="1" x14ac:dyDescent="0.25">
      <c r="A31" s="166" t="s">
        <v>35</v>
      </c>
      <c r="B31" s="100">
        <v>0</v>
      </c>
      <c r="C31" s="100">
        <f>B31*0.09</f>
        <v>0</v>
      </c>
      <c r="D31" s="100">
        <f>C31+B31</f>
        <v>0</v>
      </c>
      <c r="E31" s="27" t="s">
        <v>148</v>
      </c>
      <c r="F31" s="14">
        <v>0.18</v>
      </c>
      <c r="G31" s="25">
        <v>0.77</v>
      </c>
      <c r="H31" s="14">
        <f>1-G31-F31</f>
        <v>4.9999999999999989E-2</v>
      </c>
      <c r="I31" s="107">
        <f>F31*B31</f>
        <v>0</v>
      </c>
      <c r="J31" s="108">
        <f>F31*C31</f>
        <v>0</v>
      </c>
      <c r="K31" s="109">
        <f>J31+I31</f>
        <v>0</v>
      </c>
      <c r="L31" s="107">
        <f>I31*D31</f>
        <v>0</v>
      </c>
      <c r="M31" s="110">
        <f>G31*C31</f>
        <v>0</v>
      </c>
      <c r="N31" s="109">
        <f>M31+L31</f>
        <v>0</v>
      </c>
      <c r="O31" s="101">
        <f>B31*H31</f>
        <v>0</v>
      </c>
      <c r="P31" s="6">
        <f>C31*H31</f>
        <v>0</v>
      </c>
      <c r="Q31" s="109">
        <f>P31+O31</f>
        <v>0</v>
      </c>
      <c r="R31" s="146"/>
    </row>
    <row r="32" spans="1:20" s="44" customFormat="1" x14ac:dyDescent="0.25">
      <c r="A32" s="168"/>
      <c r="B32" s="37"/>
      <c r="C32" s="37"/>
      <c r="D32" s="37"/>
      <c r="E32" s="374"/>
      <c r="F32" s="38"/>
      <c r="G32" s="39"/>
      <c r="H32" s="39"/>
      <c r="I32" s="40"/>
      <c r="J32" s="41"/>
      <c r="K32" s="42"/>
      <c r="L32" s="40"/>
      <c r="M32" s="43"/>
      <c r="N32" s="139"/>
      <c r="O32" s="40"/>
      <c r="P32" s="43"/>
      <c r="Q32" s="211"/>
      <c r="R32" s="207"/>
      <c r="S32" s="207"/>
      <c r="T32" s="207"/>
    </row>
    <row r="33" spans="1:20" s="111" customFormat="1" x14ac:dyDescent="0.25">
      <c r="A33" s="169" t="s">
        <v>36</v>
      </c>
      <c r="B33" s="112">
        <f>SUM(B34,B36,B38,B42,B45)</f>
        <v>31297</v>
      </c>
      <c r="C33" s="112">
        <f>B33*0.09</f>
        <v>2816.73</v>
      </c>
      <c r="D33" s="112">
        <f>B33+C33</f>
        <v>34113.730000000003</v>
      </c>
      <c r="E33" s="375"/>
      <c r="F33" s="47">
        <f>AVERAGE(F34,F36,F39,F40,F43,F45)</f>
        <v>0.17999999999999997</v>
      </c>
      <c r="G33" s="48">
        <f>AVERAGE(G34,G36,G39,G40,G43,G45)</f>
        <v>0.77</v>
      </c>
      <c r="H33" s="48">
        <f>AVERAGE(H34,H36,H39,H40,H43,H45)</f>
        <v>5.0000000000000017E-2</v>
      </c>
      <c r="I33" s="113">
        <f t="shared" ref="I33:Q33" si="63">SUM(I34,I36,I38,I42,I45)</f>
        <v>5633.46</v>
      </c>
      <c r="J33" s="114">
        <f t="shared" si="63"/>
        <v>507.01139999999998</v>
      </c>
      <c r="K33" s="114">
        <f t="shared" si="63"/>
        <v>6140.4713999999994</v>
      </c>
      <c r="L33" s="113">
        <f t="shared" si="63"/>
        <v>24098.690000000002</v>
      </c>
      <c r="M33" s="114">
        <f t="shared" si="63"/>
        <v>2168.8821000000003</v>
      </c>
      <c r="N33" s="114">
        <f t="shared" si="63"/>
        <v>26267.572100000001</v>
      </c>
      <c r="O33" s="113">
        <f t="shared" si="63"/>
        <v>1564.850000000001</v>
      </c>
      <c r="P33" s="114">
        <f t="shared" si="63"/>
        <v>140.83650000000011</v>
      </c>
      <c r="Q33" s="114">
        <f t="shared" si="63"/>
        <v>1705.6865000000012</v>
      </c>
      <c r="R33" s="148"/>
    </row>
    <row r="34" spans="1:20" s="120" customFormat="1" ht="30" x14ac:dyDescent="0.25">
      <c r="A34" s="170" t="s">
        <v>10</v>
      </c>
      <c r="B34" s="116">
        <v>0</v>
      </c>
      <c r="C34" s="100">
        <f>B34*0.09</f>
        <v>0</v>
      </c>
      <c r="D34" s="100">
        <f>C34+B34</f>
        <v>0</v>
      </c>
      <c r="E34" s="27" t="s">
        <v>272</v>
      </c>
      <c r="F34" s="51">
        <v>0.18</v>
      </c>
      <c r="G34" s="52">
        <v>0.77</v>
      </c>
      <c r="H34" s="14">
        <f>1-G34-F34</f>
        <v>4.9999999999999989E-2</v>
      </c>
      <c r="I34" s="117">
        <f>F34*B34</f>
        <v>0</v>
      </c>
      <c r="J34" s="118">
        <f>F34*C34</f>
        <v>0</v>
      </c>
      <c r="K34" s="109">
        <f>J34+I34</f>
        <v>0</v>
      </c>
      <c r="L34" s="117">
        <f>G34*B34</f>
        <v>0</v>
      </c>
      <c r="M34" s="119">
        <f>G34*C34</f>
        <v>0</v>
      </c>
      <c r="N34" s="109">
        <f>M34+L34</f>
        <v>0</v>
      </c>
      <c r="O34" s="101">
        <f>B34*H34</f>
        <v>0</v>
      </c>
      <c r="P34" s="6">
        <f>C34*H34</f>
        <v>0</v>
      </c>
      <c r="Q34" s="109">
        <f>P34+O34</f>
        <v>0</v>
      </c>
      <c r="R34" s="149"/>
    </row>
    <row r="35" spans="1:20" s="61" customFormat="1" x14ac:dyDescent="0.25">
      <c r="A35" s="171"/>
      <c r="B35" s="56"/>
      <c r="C35" s="56"/>
      <c r="D35" s="56"/>
      <c r="E35" s="60"/>
      <c r="F35" s="57"/>
      <c r="G35" s="58"/>
      <c r="H35" s="58"/>
      <c r="I35" s="59"/>
      <c r="J35" s="32"/>
      <c r="K35" s="32"/>
      <c r="L35" s="59"/>
      <c r="M35" s="60"/>
      <c r="N35" s="60"/>
      <c r="O35" s="59"/>
      <c r="P35" s="60"/>
      <c r="Q35" s="32"/>
      <c r="R35" s="150"/>
    </row>
    <row r="36" spans="1:20" s="120" customFormat="1" ht="30" x14ac:dyDescent="0.25">
      <c r="A36" s="170" t="s">
        <v>15</v>
      </c>
      <c r="B36" s="116">
        <v>0</v>
      </c>
      <c r="C36" s="100">
        <f>B36*0.09</f>
        <v>0</v>
      </c>
      <c r="D36" s="100">
        <f>C36+B36</f>
        <v>0</v>
      </c>
      <c r="E36" s="27" t="s">
        <v>272</v>
      </c>
      <c r="F36" s="51">
        <v>0.18</v>
      </c>
      <c r="G36" s="52">
        <v>0.77</v>
      </c>
      <c r="H36" s="14">
        <f>1-G36-F36</f>
        <v>4.9999999999999989E-2</v>
      </c>
      <c r="I36" s="117">
        <f>F36*B36</f>
        <v>0</v>
      </c>
      <c r="J36" s="118">
        <f>F36*C36</f>
        <v>0</v>
      </c>
      <c r="K36" s="109">
        <f>J36+I36</f>
        <v>0</v>
      </c>
      <c r="L36" s="117">
        <f>I36*D36</f>
        <v>0</v>
      </c>
      <c r="M36" s="119">
        <f>G36*C36</f>
        <v>0</v>
      </c>
      <c r="N36" s="109">
        <f>M36+L36</f>
        <v>0</v>
      </c>
      <c r="O36" s="101">
        <f>B36*H36</f>
        <v>0</v>
      </c>
      <c r="P36" s="6">
        <f>C36*H36</f>
        <v>0</v>
      </c>
      <c r="Q36" s="109">
        <f>P36+O36</f>
        <v>0</v>
      </c>
      <c r="R36" s="149"/>
    </row>
    <row r="37" spans="1:20" s="61" customFormat="1" x14ac:dyDescent="0.25">
      <c r="A37" s="171"/>
      <c r="B37" s="56"/>
      <c r="C37" s="56"/>
      <c r="D37" s="56"/>
      <c r="E37" s="60"/>
      <c r="F37" s="57"/>
      <c r="G37" s="58"/>
      <c r="H37" s="58"/>
      <c r="I37" s="59"/>
      <c r="J37" s="32"/>
      <c r="K37" s="32"/>
      <c r="L37" s="59"/>
      <c r="M37" s="60"/>
      <c r="N37" s="60"/>
      <c r="O37" s="59"/>
      <c r="P37" s="60"/>
      <c r="Q37" s="32"/>
      <c r="R37" s="150"/>
    </row>
    <row r="38" spans="1:20" s="99" customFormat="1" x14ac:dyDescent="0.25">
      <c r="A38" s="164" t="s">
        <v>37</v>
      </c>
      <c r="B38" s="100">
        <f>SUM(B39:B40)</f>
        <v>27319</v>
      </c>
      <c r="C38" s="100">
        <f>B38*0.09</f>
        <v>2458.71</v>
      </c>
      <c r="D38" s="100">
        <f>C38+B38</f>
        <v>29777.71</v>
      </c>
      <c r="E38" s="110"/>
      <c r="F38" s="14">
        <f>AVERAGE(F39:F40)</f>
        <v>0.18</v>
      </c>
      <c r="G38" s="14">
        <f>AVERAGE(G39:G40)</f>
        <v>0.77</v>
      </c>
      <c r="H38" s="14">
        <f>1-G38-F38</f>
        <v>4.9999999999999989E-2</v>
      </c>
      <c r="I38" s="117">
        <f t="shared" ref="I38:Q38" si="64">SUM(I39:I40)</f>
        <v>4917.42</v>
      </c>
      <c r="J38" s="118">
        <f t="shared" si="64"/>
        <v>442.56779999999998</v>
      </c>
      <c r="K38" s="109">
        <f t="shared" si="64"/>
        <v>5359.9877999999999</v>
      </c>
      <c r="L38" s="117">
        <f t="shared" si="64"/>
        <v>21035.63</v>
      </c>
      <c r="M38" s="119">
        <f t="shared" si="64"/>
        <v>1893.2067000000002</v>
      </c>
      <c r="N38" s="109">
        <f t="shared" si="64"/>
        <v>22928.8367</v>
      </c>
      <c r="O38" s="101">
        <f t="shared" si="64"/>
        <v>1365.9500000000012</v>
      </c>
      <c r="P38" s="6">
        <f t="shared" si="64"/>
        <v>122.9355000000001</v>
      </c>
      <c r="Q38" s="109">
        <f t="shared" si="64"/>
        <v>1488.8855000000012</v>
      </c>
      <c r="R38" s="146"/>
    </row>
    <row r="39" spans="1:20" x14ac:dyDescent="0.25">
      <c r="A39" s="165" t="s">
        <v>38</v>
      </c>
      <c r="B39" s="18">
        <v>0</v>
      </c>
      <c r="C39" s="13">
        <f t="shared" ref="C39:C40" si="65">0.09*B39</f>
        <v>0</v>
      </c>
      <c r="D39" s="13">
        <f t="shared" ref="D39:D40" si="66">SUM(B39:C39)</f>
        <v>0</v>
      </c>
      <c r="E39" s="27" t="s">
        <v>148</v>
      </c>
      <c r="F39" s="19">
        <v>0.18</v>
      </c>
      <c r="G39" s="20">
        <v>0.77</v>
      </c>
      <c r="H39" s="21">
        <f t="shared" ref="H39:H40" si="67">1-F39-G39</f>
        <v>5.0000000000000044E-2</v>
      </c>
      <c r="I39" s="22">
        <f t="shared" ref="I39:I40" si="68">F39*B39</f>
        <v>0</v>
      </c>
      <c r="J39" s="130">
        <f t="shared" ref="J39:J40" si="69">F39*C39</f>
        <v>0</v>
      </c>
      <c r="K39" s="131">
        <f t="shared" ref="K39:K40" si="70">J39+I39</f>
        <v>0</v>
      </c>
      <c r="L39" s="22">
        <f t="shared" ref="L39:L40" si="71">G39*B39</f>
        <v>0</v>
      </c>
      <c r="M39" s="24">
        <f t="shared" ref="M39:M40" si="72">G39*C39</f>
        <v>0</v>
      </c>
      <c r="N39" s="23">
        <f t="shared" ref="N39:N40" si="73">M39+L39</f>
        <v>0</v>
      </c>
      <c r="O39" s="22">
        <f t="shared" ref="O39:O40" si="74">H39*B39</f>
        <v>0</v>
      </c>
      <c r="P39" s="24">
        <f t="shared" ref="P39:P40" si="75">H39*C39</f>
        <v>0</v>
      </c>
      <c r="Q39" s="23">
        <f t="shared" ref="Q39:Q40" si="76">P39+O39</f>
        <v>0</v>
      </c>
    </row>
    <row r="40" spans="1:20" x14ac:dyDescent="0.25">
      <c r="A40" s="165" t="s">
        <v>39</v>
      </c>
      <c r="B40" s="18">
        <v>27319</v>
      </c>
      <c r="C40" s="13">
        <f t="shared" si="65"/>
        <v>2458.71</v>
      </c>
      <c r="D40" s="13">
        <f t="shared" si="66"/>
        <v>29777.71</v>
      </c>
      <c r="E40" s="27" t="s">
        <v>148</v>
      </c>
      <c r="F40" s="19">
        <v>0.18</v>
      </c>
      <c r="G40" s="20">
        <v>0.77</v>
      </c>
      <c r="H40" s="21">
        <f t="shared" si="67"/>
        <v>5.0000000000000044E-2</v>
      </c>
      <c r="I40" s="22">
        <f t="shared" si="68"/>
        <v>4917.42</v>
      </c>
      <c r="J40" s="130">
        <f t="shared" si="69"/>
        <v>442.56779999999998</v>
      </c>
      <c r="K40" s="131">
        <f t="shared" si="70"/>
        <v>5359.9877999999999</v>
      </c>
      <c r="L40" s="22">
        <f t="shared" si="71"/>
        <v>21035.63</v>
      </c>
      <c r="M40" s="24">
        <f t="shared" si="72"/>
        <v>1893.2067000000002</v>
      </c>
      <c r="N40" s="23">
        <f t="shared" si="73"/>
        <v>22928.8367</v>
      </c>
      <c r="O40" s="22">
        <f t="shared" si="74"/>
        <v>1365.9500000000012</v>
      </c>
      <c r="P40" s="24">
        <f t="shared" si="75"/>
        <v>122.9355000000001</v>
      </c>
      <c r="Q40" s="23">
        <f t="shared" si="76"/>
        <v>1488.8855000000012</v>
      </c>
    </row>
    <row r="41" spans="1:20" s="61" customFormat="1" x14ac:dyDescent="0.25">
      <c r="A41" s="171"/>
      <c r="B41" s="56"/>
      <c r="C41" s="56"/>
      <c r="D41" s="56"/>
      <c r="E41" s="60"/>
      <c r="F41" s="57"/>
      <c r="G41" s="58"/>
      <c r="H41" s="58"/>
      <c r="I41" s="59"/>
      <c r="J41" s="32"/>
      <c r="K41" s="32"/>
      <c r="L41" s="59"/>
      <c r="M41" s="60"/>
      <c r="N41" s="60"/>
      <c r="O41" s="59"/>
      <c r="P41" s="60"/>
      <c r="Q41" s="32"/>
      <c r="R41" s="150"/>
    </row>
    <row r="42" spans="1:20" s="99" customFormat="1" x14ac:dyDescent="0.25">
      <c r="A42" s="164" t="s">
        <v>30</v>
      </c>
      <c r="B42" s="100">
        <f>B43</f>
        <v>0</v>
      </c>
      <c r="C42" s="100">
        <f>SUM(C43)</f>
        <v>0</v>
      </c>
      <c r="D42" s="100">
        <f>SUM(D43)</f>
        <v>0</v>
      </c>
      <c r="E42" s="110"/>
      <c r="F42" s="14">
        <f>AVERAGE(F43:F44)</f>
        <v>0.18</v>
      </c>
      <c r="G42" s="14">
        <f>AVERAGE(G43:G44)</f>
        <v>0.77</v>
      </c>
      <c r="H42" s="14">
        <f>1-G42-F42</f>
        <v>4.9999999999999989E-2</v>
      </c>
      <c r="I42" s="117">
        <f t="shared" ref="I42:Q42" si="77">SUM(I43)</f>
        <v>0</v>
      </c>
      <c r="J42" s="118">
        <f t="shared" si="77"/>
        <v>0</v>
      </c>
      <c r="K42" s="109">
        <f t="shared" si="77"/>
        <v>0</v>
      </c>
      <c r="L42" s="117">
        <f t="shared" si="77"/>
        <v>0</v>
      </c>
      <c r="M42" s="119">
        <f t="shared" si="77"/>
        <v>0</v>
      </c>
      <c r="N42" s="109">
        <f t="shared" si="77"/>
        <v>0</v>
      </c>
      <c r="O42" s="101">
        <f t="shared" si="77"/>
        <v>0</v>
      </c>
      <c r="P42" s="6">
        <f t="shared" si="77"/>
        <v>0</v>
      </c>
      <c r="Q42" s="109">
        <f t="shared" si="77"/>
        <v>0</v>
      </c>
      <c r="R42" s="146"/>
    </row>
    <row r="43" spans="1:20" x14ac:dyDescent="0.25">
      <c r="A43" s="165" t="s">
        <v>40</v>
      </c>
      <c r="B43" s="18">
        <v>0</v>
      </c>
      <c r="C43" s="13">
        <f t="shared" ref="C43" si="78">0.09*B43</f>
        <v>0</v>
      </c>
      <c r="D43" s="13">
        <f t="shared" ref="D43" si="79">SUM(B43:C43)</f>
        <v>0</v>
      </c>
      <c r="E43" s="27" t="s">
        <v>148</v>
      </c>
      <c r="F43" s="19">
        <v>0.18</v>
      </c>
      <c r="G43" s="20">
        <v>0.77</v>
      </c>
      <c r="H43" s="21">
        <f t="shared" ref="H43" si="80">1-F43-G43</f>
        <v>5.0000000000000044E-2</v>
      </c>
      <c r="I43" s="22">
        <f t="shared" ref="I43" si="81">F43*B43</f>
        <v>0</v>
      </c>
      <c r="J43" s="130">
        <f t="shared" ref="J43" si="82">F43*C43</f>
        <v>0</v>
      </c>
      <c r="K43" s="131">
        <f t="shared" ref="K43" si="83">J43+I43</f>
        <v>0</v>
      </c>
      <c r="L43" s="22">
        <f t="shared" ref="L43" si="84">G43*B43</f>
        <v>0</v>
      </c>
      <c r="M43" s="24">
        <f t="shared" ref="M43" si="85">G43*C43</f>
        <v>0</v>
      </c>
      <c r="N43" s="23">
        <f t="shared" ref="N43" si="86">M43+L43</f>
        <v>0</v>
      </c>
      <c r="O43" s="22">
        <f t="shared" ref="O43" si="87">H43*B43</f>
        <v>0</v>
      </c>
      <c r="P43" s="24">
        <f t="shared" ref="P43" si="88">H43*C43</f>
        <v>0</v>
      </c>
      <c r="Q43" s="23">
        <f t="shared" ref="Q43" si="89">P43+O43</f>
        <v>0</v>
      </c>
    </row>
    <row r="44" spans="1:20" s="45" customFormat="1" x14ac:dyDescent="0.25">
      <c r="A44" s="172"/>
      <c r="B44" s="46"/>
      <c r="C44" s="46"/>
      <c r="D44" s="46"/>
      <c r="E44" s="66"/>
      <c r="F44" s="62"/>
      <c r="G44" s="63"/>
      <c r="H44" s="63"/>
      <c r="I44" s="49"/>
      <c r="J44" s="64"/>
      <c r="K44" s="65"/>
      <c r="L44" s="49"/>
      <c r="M44" s="66"/>
      <c r="N44" s="54"/>
      <c r="O44" s="49"/>
      <c r="P44" s="66"/>
      <c r="Q44" s="65"/>
      <c r="R44" s="151"/>
    </row>
    <row r="45" spans="1:20" s="99" customFormat="1" x14ac:dyDescent="0.25">
      <c r="A45" s="166" t="s">
        <v>35</v>
      </c>
      <c r="B45" s="100">
        <v>3978</v>
      </c>
      <c r="C45" s="100">
        <f>B45*0.09</f>
        <v>358.02</v>
      </c>
      <c r="D45" s="100">
        <f>SUM(B45:C45)</f>
        <v>4336.0200000000004</v>
      </c>
      <c r="E45" s="27" t="s">
        <v>148</v>
      </c>
      <c r="F45" s="51">
        <v>0.18</v>
      </c>
      <c r="G45" s="52">
        <v>0.77</v>
      </c>
      <c r="H45" s="14">
        <f>1-G45-F45</f>
        <v>4.9999999999999989E-2</v>
      </c>
      <c r="I45" s="117">
        <f>F45*B45</f>
        <v>716.04</v>
      </c>
      <c r="J45" s="118">
        <f>F45*C45</f>
        <v>64.443599999999989</v>
      </c>
      <c r="K45" s="109">
        <f>J45+I45</f>
        <v>780.48359999999991</v>
      </c>
      <c r="L45" s="117">
        <f>G45*B45</f>
        <v>3063.06</v>
      </c>
      <c r="M45" s="119">
        <f>G45*C45</f>
        <v>275.67539999999997</v>
      </c>
      <c r="N45" s="109">
        <f>M45+L45</f>
        <v>3338.7354</v>
      </c>
      <c r="O45" s="101">
        <f>B45*H45</f>
        <v>198.89999999999995</v>
      </c>
      <c r="P45" s="6">
        <f>C45*H45</f>
        <v>17.900999999999996</v>
      </c>
      <c r="Q45" s="109">
        <f>P45+O45</f>
        <v>216.80099999999993</v>
      </c>
      <c r="R45" s="146"/>
    </row>
    <row r="46" spans="1:20" s="67" customFormat="1" x14ac:dyDescent="0.25">
      <c r="A46" s="173"/>
      <c r="B46" s="68"/>
      <c r="C46" s="68"/>
      <c r="D46" s="68"/>
      <c r="E46" s="74"/>
      <c r="F46" s="69"/>
      <c r="G46" s="70"/>
      <c r="H46" s="70"/>
      <c r="I46" s="71"/>
      <c r="J46" s="72"/>
      <c r="K46" s="73"/>
      <c r="L46" s="71"/>
      <c r="M46" s="74"/>
      <c r="N46" s="140"/>
      <c r="O46" s="71"/>
      <c r="P46" s="74"/>
      <c r="Q46" s="212"/>
      <c r="R46" s="216"/>
      <c r="S46" s="216"/>
      <c r="T46" s="216"/>
    </row>
    <row r="47" spans="1:20" s="111" customFormat="1" x14ac:dyDescent="0.25">
      <c r="A47" s="169" t="s">
        <v>41</v>
      </c>
      <c r="B47" s="112">
        <f>SUM(B48,B50,B55,B61,B64)</f>
        <v>93531</v>
      </c>
      <c r="C47" s="112">
        <f>B47*0.09</f>
        <v>8417.7899999999991</v>
      </c>
      <c r="D47" s="112">
        <f>B47+C47</f>
        <v>101948.79</v>
      </c>
      <c r="E47" s="375"/>
      <c r="F47" s="47">
        <f>AVERAGE(F48,F51:F53,F56:F59,F62,F64)</f>
        <v>1</v>
      </c>
      <c r="G47" s="47">
        <f t="shared" ref="G47:H47" si="90">AVERAGE(G48,G51:G53,G56:G59,G62,G64)</f>
        <v>0</v>
      </c>
      <c r="H47" s="47">
        <f t="shared" si="90"/>
        <v>0</v>
      </c>
      <c r="I47" s="113">
        <f t="shared" ref="I47:Q47" si="91">SUM(I48,I50,I55,I61,I64)</f>
        <v>93531</v>
      </c>
      <c r="J47" s="114">
        <f t="shared" si="91"/>
        <v>8417.7899999999991</v>
      </c>
      <c r="K47" s="114">
        <f t="shared" si="91"/>
        <v>101948.79</v>
      </c>
      <c r="L47" s="113">
        <f t="shared" si="91"/>
        <v>0</v>
      </c>
      <c r="M47" s="114">
        <f t="shared" si="91"/>
        <v>0</v>
      </c>
      <c r="N47" s="114">
        <f t="shared" si="91"/>
        <v>0</v>
      </c>
      <c r="O47" s="113">
        <f t="shared" si="91"/>
        <v>0</v>
      </c>
      <c r="P47" s="114">
        <f t="shared" si="91"/>
        <v>0</v>
      </c>
      <c r="Q47" s="114">
        <f t="shared" si="91"/>
        <v>0</v>
      </c>
      <c r="R47" s="148"/>
    </row>
    <row r="48" spans="1:20" s="120" customFormat="1" ht="30" x14ac:dyDescent="0.25">
      <c r="A48" s="174" t="s">
        <v>42</v>
      </c>
      <c r="B48" s="116">
        <v>0</v>
      </c>
      <c r="C48" s="116">
        <f>B48*0.09</f>
        <v>0</v>
      </c>
      <c r="D48" s="116">
        <f>C48+B48</f>
        <v>0</v>
      </c>
      <c r="E48" s="27" t="s">
        <v>272</v>
      </c>
      <c r="F48" s="75">
        <v>1</v>
      </c>
      <c r="G48" s="76">
        <f t="shared" ref="G48:G64" si="92">1-F48</f>
        <v>0</v>
      </c>
      <c r="H48" s="14">
        <f>1-G48-F48</f>
        <v>0</v>
      </c>
      <c r="I48" s="117">
        <f t="shared" ref="I48:I64" si="93">F48*B48</f>
        <v>0</v>
      </c>
      <c r="J48" s="118">
        <f>F48*C48</f>
        <v>0</v>
      </c>
      <c r="K48" s="109">
        <f>J48+I48</f>
        <v>0</v>
      </c>
      <c r="L48" s="117">
        <f>G48*B48</f>
        <v>0</v>
      </c>
      <c r="M48" s="119">
        <f>G48*C48</f>
        <v>0</v>
      </c>
      <c r="N48" s="109">
        <f>M48+L48</f>
        <v>0</v>
      </c>
      <c r="O48" s="101">
        <f>B48*H48</f>
        <v>0</v>
      </c>
      <c r="P48" s="6">
        <f>C48*H48</f>
        <v>0</v>
      </c>
      <c r="Q48" s="109">
        <f>P48+O48</f>
        <v>0</v>
      </c>
      <c r="R48" s="149"/>
    </row>
    <row r="49" spans="1:18" s="45" customFormat="1" x14ac:dyDescent="0.25">
      <c r="A49" s="172"/>
      <c r="B49" s="46"/>
      <c r="C49" s="46"/>
      <c r="D49" s="46"/>
      <c r="E49" s="66"/>
      <c r="F49" s="62"/>
      <c r="G49" s="77"/>
      <c r="H49" s="77"/>
      <c r="I49" s="53"/>
      <c r="J49" s="64"/>
      <c r="K49" s="65"/>
      <c r="L49" s="53"/>
      <c r="M49" s="66"/>
      <c r="N49" s="54"/>
      <c r="O49" s="53"/>
      <c r="P49" s="66"/>
      <c r="Q49" s="65"/>
      <c r="R49" s="151"/>
    </row>
    <row r="50" spans="1:18" s="120" customFormat="1" x14ac:dyDescent="0.25">
      <c r="A50" s="174" t="s">
        <v>15</v>
      </c>
      <c r="B50" s="116">
        <f>SUM(B51:B53)</f>
        <v>8913</v>
      </c>
      <c r="C50" s="116">
        <f t="shared" ref="C50:D50" si="94">SUM(C51:C53)</f>
        <v>802.17</v>
      </c>
      <c r="D50" s="116">
        <f t="shared" si="94"/>
        <v>9715.17</v>
      </c>
      <c r="E50" s="119"/>
      <c r="F50" s="78">
        <f>AVERAGE(F51:F53)</f>
        <v>1</v>
      </c>
      <c r="G50" s="77">
        <f>AVERAGE(G51:G53)</f>
        <v>0</v>
      </c>
      <c r="H50" s="14">
        <f>1-G50-F50</f>
        <v>0</v>
      </c>
      <c r="I50" s="117">
        <f t="shared" ref="I50:Q50" si="95">SUM(I51:I53)</f>
        <v>8913</v>
      </c>
      <c r="J50" s="118">
        <f t="shared" si="95"/>
        <v>802.17</v>
      </c>
      <c r="K50" s="109">
        <f t="shared" si="95"/>
        <v>9715.17</v>
      </c>
      <c r="L50" s="117">
        <f t="shared" si="95"/>
        <v>0</v>
      </c>
      <c r="M50" s="119">
        <f t="shared" si="95"/>
        <v>0</v>
      </c>
      <c r="N50" s="109">
        <f t="shared" si="95"/>
        <v>0</v>
      </c>
      <c r="O50" s="101">
        <f t="shared" si="95"/>
        <v>0</v>
      </c>
      <c r="P50" s="6">
        <f t="shared" si="95"/>
        <v>0</v>
      </c>
      <c r="Q50" s="109">
        <f t="shared" si="95"/>
        <v>0</v>
      </c>
      <c r="R50" s="149"/>
    </row>
    <row r="51" spans="1:18" s="12" customFormat="1" ht="30" x14ac:dyDescent="0.25">
      <c r="A51" s="165" t="s">
        <v>43</v>
      </c>
      <c r="B51" s="18">
        <v>1143</v>
      </c>
      <c r="C51" s="13">
        <f t="shared" ref="C51:C53" si="96">0.09*B51</f>
        <v>102.86999999999999</v>
      </c>
      <c r="D51" s="13">
        <f t="shared" ref="D51:D53" si="97">SUM(B51:C51)</f>
        <v>1245.8699999999999</v>
      </c>
      <c r="E51" s="27" t="s">
        <v>272</v>
      </c>
      <c r="F51" s="79">
        <v>1</v>
      </c>
      <c r="G51" s="80">
        <f t="shared" si="92"/>
        <v>0</v>
      </c>
      <c r="H51" s="81">
        <f>1-G51-F51</f>
        <v>0</v>
      </c>
      <c r="I51" s="22">
        <f t="shared" si="93"/>
        <v>1143</v>
      </c>
      <c r="J51" s="130">
        <f t="shared" ref="J51:J53" si="98">F51*C51</f>
        <v>102.86999999999999</v>
      </c>
      <c r="K51" s="131">
        <f t="shared" ref="K51:K53" si="99">J51+I51</f>
        <v>1245.8699999999999</v>
      </c>
      <c r="L51" s="22">
        <f t="shared" ref="L51:L53" si="100">G51*B51</f>
        <v>0</v>
      </c>
      <c r="M51" s="24">
        <f t="shared" ref="M51:M53" si="101">G51*C51</f>
        <v>0</v>
      </c>
      <c r="N51" s="23">
        <f t="shared" ref="N51:N53" si="102">M51+L51</f>
        <v>0</v>
      </c>
      <c r="O51" s="22">
        <f t="shared" ref="O51:O53" si="103">H51*B51</f>
        <v>0</v>
      </c>
      <c r="P51" s="24">
        <f t="shared" ref="P51:P53" si="104">H51*C51</f>
        <v>0</v>
      </c>
      <c r="Q51" s="23">
        <f t="shared" ref="Q51:Q53" si="105">P51+O51</f>
        <v>0</v>
      </c>
      <c r="R51" s="152"/>
    </row>
    <row r="52" spans="1:18" s="12" customFormat="1" ht="30" x14ac:dyDescent="0.25">
      <c r="A52" s="165" t="s">
        <v>44</v>
      </c>
      <c r="B52" s="18">
        <v>1531</v>
      </c>
      <c r="C52" s="13">
        <f t="shared" si="96"/>
        <v>137.79</v>
      </c>
      <c r="D52" s="13">
        <f t="shared" si="97"/>
        <v>1668.79</v>
      </c>
      <c r="E52" s="27" t="s">
        <v>272</v>
      </c>
      <c r="F52" s="79">
        <v>1</v>
      </c>
      <c r="G52" s="80">
        <f t="shared" si="92"/>
        <v>0</v>
      </c>
      <c r="H52" s="81">
        <f t="shared" ref="H52:H53" si="106">1-G52-F52</f>
        <v>0</v>
      </c>
      <c r="I52" s="22">
        <f t="shared" si="93"/>
        <v>1531</v>
      </c>
      <c r="J52" s="130">
        <f t="shared" si="98"/>
        <v>137.79</v>
      </c>
      <c r="K52" s="131">
        <f t="shared" si="99"/>
        <v>1668.79</v>
      </c>
      <c r="L52" s="22">
        <f t="shared" si="100"/>
        <v>0</v>
      </c>
      <c r="M52" s="24">
        <f t="shared" si="101"/>
        <v>0</v>
      </c>
      <c r="N52" s="23">
        <f t="shared" si="102"/>
        <v>0</v>
      </c>
      <c r="O52" s="22">
        <f t="shared" si="103"/>
        <v>0</v>
      </c>
      <c r="P52" s="24">
        <f t="shared" si="104"/>
        <v>0</v>
      </c>
      <c r="Q52" s="23">
        <f t="shared" si="105"/>
        <v>0</v>
      </c>
      <c r="R52" s="152"/>
    </row>
    <row r="53" spans="1:18" s="12" customFormat="1" ht="30" x14ac:dyDescent="0.25">
      <c r="A53" s="165" t="s">
        <v>45</v>
      </c>
      <c r="B53" s="18">
        <v>6239</v>
      </c>
      <c r="C53" s="13">
        <f t="shared" si="96"/>
        <v>561.51</v>
      </c>
      <c r="D53" s="13">
        <f t="shared" si="97"/>
        <v>6800.51</v>
      </c>
      <c r="E53" s="27" t="s">
        <v>272</v>
      </c>
      <c r="F53" s="79">
        <v>1</v>
      </c>
      <c r="G53" s="80">
        <f t="shared" si="92"/>
        <v>0</v>
      </c>
      <c r="H53" s="81">
        <f t="shared" si="106"/>
        <v>0</v>
      </c>
      <c r="I53" s="22">
        <f t="shared" si="93"/>
        <v>6239</v>
      </c>
      <c r="J53" s="130">
        <f t="shared" si="98"/>
        <v>561.51</v>
      </c>
      <c r="K53" s="131">
        <f t="shared" si="99"/>
        <v>6800.51</v>
      </c>
      <c r="L53" s="22">
        <f t="shared" si="100"/>
        <v>0</v>
      </c>
      <c r="M53" s="24">
        <f t="shared" si="101"/>
        <v>0</v>
      </c>
      <c r="N53" s="23">
        <f t="shared" si="102"/>
        <v>0</v>
      </c>
      <c r="O53" s="22">
        <f t="shared" si="103"/>
        <v>0</v>
      </c>
      <c r="P53" s="24">
        <f t="shared" si="104"/>
        <v>0</v>
      </c>
      <c r="Q53" s="23">
        <f t="shared" si="105"/>
        <v>0</v>
      </c>
      <c r="R53" s="152"/>
    </row>
    <row r="54" spans="1:18" s="12" customFormat="1" x14ac:dyDescent="0.25">
      <c r="A54" s="175"/>
      <c r="B54" s="13"/>
      <c r="C54" s="13"/>
      <c r="D54" s="13"/>
      <c r="E54" s="27"/>
      <c r="F54" s="14"/>
      <c r="G54" s="77"/>
      <c r="H54" s="77"/>
      <c r="I54" s="53"/>
      <c r="J54" s="83"/>
      <c r="K54" s="65"/>
      <c r="L54" s="53"/>
      <c r="M54" s="27"/>
      <c r="N54" s="54"/>
      <c r="O54" s="53"/>
      <c r="P54" s="27"/>
      <c r="Q54" s="65"/>
      <c r="R54" s="152"/>
    </row>
    <row r="55" spans="1:18" s="120" customFormat="1" x14ac:dyDescent="0.25">
      <c r="A55" s="174" t="s">
        <v>37</v>
      </c>
      <c r="B55" s="116">
        <f>SUM(B56:B59)</f>
        <v>84618</v>
      </c>
      <c r="C55" s="116">
        <f>SUM(C56:C59)</f>
        <v>7615.62</v>
      </c>
      <c r="D55" s="116">
        <f>SUM(D56:D59)</f>
        <v>92233.62</v>
      </c>
      <c r="E55" s="119"/>
      <c r="F55" s="78">
        <f>AVERAGE(F56:F59)</f>
        <v>1</v>
      </c>
      <c r="G55" s="77">
        <f>AVERAGE(G56:G59)</f>
        <v>0</v>
      </c>
      <c r="H55" s="14">
        <f>1-G55-F55</f>
        <v>0</v>
      </c>
      <c r="I55" s="117">
        <f t="shared" ref="I55:Q55" si="107">SUM(I56:I59)</f>
        <v>84618</v>
      </c>
      <c r="J55" s="118">
        <f t="shared" si="107"/>
        <v>7615.62</v>
      </c>
      <c r="K55" s="109">
        <f t="shared" si="107"/>
        <v>92233.62</v>
      </c>
      <c r="L55" s="117">
        <f t="shared" si="107"/>
        <v>0</v>
      </c>
      <c r="M55" s="119">
        <f t="shared" si="107"/>
        <v>0</v>
      </c>
      <c r="N55" s="109">
        <f t="shared" si="107"/>
        <v>0</v>
      </c>
      <c r="O55" s="101">
        <f t="shared" si="107"/>
        <v>0</v>
      </c>
      <c r="P55" s="6">
        <f t="shared" si="107"/>
        <v>0</v>
      </c>
      <c r="Q55" s="109">
        <f t="shared" si="107"/>
        <v>0</v>
      </c>
      <c r="R55" s="149"/>
    </row>
    <row r="56" spans="1:18" s="12" customFormat="1" ht="30" x14ac:dyDescent="0.25">
      <c r="A56" s="165" t="s">
        <v>104</v>
      </c>
      <c r="B56" s="18">
        <v>18019</v>
      </c>
      <c r="C56" s="13">
        <f t="shared" ref="C56:C59" si="108">0.09*B56</f>
        <v>1621.71</v>
      </c>
      <c r="D56" s="13">
        <f t="shared" ref="D56:D59" si="109">SUM(B56:C56)</f>
        <v>19640.71</v>
      </c>
      <c r="E56" s="27" t="s">
        <v>272</v>
      </c>
      <c r="F56" s="79">
        <v>1</v>
      </c>
      <c r="G56" s="80">
        <f t="shared" si="92"/>
        <v>0</v>
      </c>
      <c r="H56" s="81">
        <f>1-G56-F56</f>
        <v>0</v>
      </c>
      <c r="I56" s="22">
        <f t="shared" ref="I56:I59" si="110">F56*B56</f>
        <v>18019</v>
      </c>
      <c r="J56" s="130">
        <f t="shared" ref="J56:J59" si="111">F56*C56</f>
        <v>1621.71</v>
      </c>
      <c r="K56" s="131">
        <f t="shared" ref="K56:K59" si="112">J56+I56</f>
        <v>19640.71</v>
      </c>
      <c r="L56" s="22">
        <f t="shared" ref="L56:L59" si="113">G56*B56</f>
        <v>0</v>
      </c>
      <c r="M56" s="24">
        <f t="shared" ref="M56:M59" si="114">G56*C56</f>
        <v>0</v>
      </c>
      <c r="N56" s="23">
        <f t="shared" ref="N56:N59" si="115">M56+L56</f>
        <v>0</v>
      </c>
      <c r="O56" s="22">
        <f t="shared" ref="O56:O59" si="116">H56*B56</f>
        <v>0</v>
      </c>
      <c r="P56" s="24">
        <f t="shared" ref="P56:P59" si="117">H56*C56</f>
        <v>0</v>
      </c>
      <c r="Q56" s="23">
        <f t="shared" ref="Q56:Q59" si="118">P56+O56</f>
        <v>0</v>
      </c>
      <c r="R56" s="152"/>
    </row>
    <row r="57" spans="1:18" s="12" customFormat="1" ht="30" x14ac:dyDescent="0.25">
      <c r="A57" s="165" t="s">
        <v>103</v>
      </c>
      <c r="B57" s="18">
        <v>45798</v>
      </c>
      <c r="C57" s="13">
        <f t="shared" si="108"/>
        <v>4121.82</v>
      </c>
      <c r="D57" s="13">
        <f t="shared" si="109"/>
        <v>49919.82</v>
      </c>
      <c r="E57" s="27" t="s">
        <v>272</v>
      </c>
      <c r="F57" s="79">
        <v>1</v>
      </c>
      <c r="G57" s="80">
        <f t="shared" ref="G57" si="119">1-F57</f>
        <v>0</v>
      </c>
      <c r="H57" s="81">
        <f>1-G57-F57</f>
        <v>0</v>
      </c>
      <c r="I57" s="22">
        <f t="shared" ref="I57" si="120">F57*B57</f>
        <v>45798</v>
      </c>
      <c r="J57" s="130">
        <f t="shared" ref="J57" si="121">F57*C57</f>
        <v>4121.82</v>
      </c>
      <c r="K57" s="131">
        <f t="shared" ref="K57" si="122">J57+I57</f>
        <v>49919.82</v>
      </c>
      <c r="L57" s="22">
        <f t="shared" ref="L57" si="123">G57*B57</f>
        <v>0</v>
      </c>
      <c r="M57" s="24">
        <f t="shared" ref="M57" si="124">G57*C57</f>
        <v>0</v>
      </c>
      <c r="N57" s="23">
        <f t="shared" ref="N57" si="125">M57+L57</f>
        <v>0</v>
      </c>
      <c r="O57" s="22">
        <f t="shared" ref="O57" si="126">H57*B57</f>
        <v>0</v>
      </c>
      <c r="P57" s="24">
        <f t="shared" ref="P57" si="127">H57*C57</f>
        <v>0</v>
      </c>
      <c r="Q57" s="23">
        <f t="shared" ref="Q57" si="128">P57+O57</f>
        <v>0</v>
      </c>
      <c r="R57" s="152"/>
    </row>
    <row r="58" spans="1:18" s="12" customFormat="1" ht="30" x14ac:dyDescent="0.25">
      <c r="A58" s="165" t="s">
        <v>47</v>
      </c>
      <c r="B58" s="18">
        <v>20801</v>
      </c>
      <c r="C58" s="13">
        <f t="shared" si="108"/>
        <v>1872.09</v>
      </c>
      <c r="D58" s="13">
        <f t="shared" si="109"/>
        <v>22673.09</v>
      </c>
      <c r="E58" s="27" t="s">
        <v>272</v>
      </c>
      <c r="F58" s="79">
        <v>1</v>
      </c>
      <c r="G58" s="80">
        <f t="shared" si="92"/>
        <v>0</v>
      </c>
      <c r="H58" s="81">
        <f t="shared" ref="H58:H59" si="129">1-G58-F58</f>
        <v>0</v>
      </c>
      <c r="I58" s="22">
        <f t="shared" si="110"/>
        <v>20801</v>
      </c>
      <c r="J58" s="130">
        <f t="shared" si="111"/>
        <v>1872.09</v>
      </c>
      <c r="K58" s="131">
        <f t="shared" si="112"/>
        <v>22673.09</v>
      </c>
      <c r="L58" s="22">
        <f t="shared" si="113"/>
        <v>0</v>
      </c>
      <c r="M58" s="24">
        <f t="shared" si="114"/>
        <v>0</v>
      </c>
      <c r="N58" s="23">
        <f t="shared" si="115"/>
        <v>0</v>
      </c>
      <c r="O58" s="22">
        <f t="shared" si="116"/>
        <v>0</v>
      </c>
      <c r="P58" s="24">
        <f t="shared" si="117"/>
        <v>0</v>
      </c>
      <c r="Q58" s="23">
        <f t="shared" si="118"/>
        <v>0</v>
      </c>
      <c r="R58" s="152"/>
    </row>
    <row r="59" spans="1:18" s="12" customFormat="1" x14ac:dyDescent="0.25">
      <c r="A59" s="165" t="s">
        <v>49</v>
      </c>
      <c r="B59" s="18">
        <v>0</v>
      </c>
      <c r="C59" s="13">
        <f t="shared" si="108"/>
        <v>0</v>
      </c>
      <c r="D59" s="13">
        <f t="shared" si="109"/>
        <v>0</v>
      </c>
      <c r="E59" s="27"/>
      <c r="F59" s="79">
        <v>1</v>
      </c>
      <c r="G59" s="80">
        <f t="shared" si="92"/>
        <v>0</v>
      </c>
      <c r="H59" s="81">
        <f t="shared" si="129"/>
        <v>0</v>
      </c>
      <c r="I59" s="22">
        <f t="shared" si="110"/>
        <v>0</v>
      </c>
      <c r="J59" s="130">
        <f t="shared" si="111"/>
        <v>0</v>
      </c>
      <c r="K59" s="131">
        <f t="shared" si="112"/>
        <v>0</v>
      </c>
      <c r="L59" s="22">
        <f t="shared" si="113"/>
        <v>0</v>
      </c>
      <c r="M59" s="24">
        <f t="shared" si="114"/>
        <v>0</v>
      </c>
      <c r="N59" s="23">
        <f t="shared" si="115"/>
        <v>0</v>
      </c>
      <c r="O59" s="22">
        <f t="shared" si="116"/>
        <v>0</v>
      </c>
      <c r="P59" s="24">
        <f t="shared" si="117"/>
        <v>0</v>
      </c>
      <c r="Q59" s="23">
        <f t="shared" si="118"/>
        <v>0</v>
      </c>
      <c r="R59" s="152"/>
    </row>
    <row r="60" spans="1:18" s="12" customFormat="1" x14ac:dyDescent="0.25">
      <c r="A60" s="175"/>
      <c r="B60" s="13"/>
      <c r="C60" s="13"/>
      <c r="D60" s="13"/>
      <c r="E60" s="27"/>
      <c r="F60" s="14"/>
      <c r="G60" s="77"/>
      <c r="H60" s="77"/>
      <c r="I60" s="53"/>
      <c r="J60" s="83"/>
      <c r="K60" s="65"/>
      <c r="L60" s="53"/>
      <c r="M60" s="27"/>
      <c r="N60" s="54"/>
      <c r="O60" s="53"/>
      <c r="P60" s="27"/>
      <c r="Q60" s="65"/>
      <c r="R60" s="152"/>
    </row>
    <row r="61" spans="1:18" s="99" customFormat="1" x14ac:dyDescent="0.25">
      <c r="A61" s="164" t="s">
        <v>30</v>
      </c>
      <c r="B61" s="100">
        <f>SUM(B62:B62)</f>
        <v>0</v>
      </c>
      <c r="C61" s="100">
        <f>B61*0.09</f>
        <v>0</v>
      </c>
      <c r="D61" s="100">
        <f>C61+B61</f>
        <v>0</v>
      </c>
      <c r="E61" s="110"/>
      <c r="F61" s="14">
        <f>AVERAGE(F62)</f>
        <v>1</v>
      </c>
      <c r="G61" s="14">
        <f>AVERAGE(G62)</f>
        <v>0</v>
      </c>
      <c r="H61" s="14">
        <f>1-G61-F61</f>
        <v>0</v>
      </c>
      <c r="I61" s="117">
        <f t="shared" ref="I61:Q61" si="130">SUM(I62)</f>
        <v>0</v>
      </c>
      <c r="J61" s="118">
        <f t="shared" si="130"/>
        <v>0</v>
      </c>
      <c r="K61" s="109">
        <f t="shared" si="130"/>
        <v>0</v>
      </c>
      <c r="L61" s="117">
        <f t="shared" si="130"/>
        <v>0</v>
      </c>
      <c r="M61" s="119">
        <f t="shared" si="130"/>
        <v>0</v>
      </c>
      <c r="N61" s="109">
        <f t="shared" si="130"/>
        <v>0</v>
      </c>
      <c r="O61" s="101">
        <f t="shared" si="130"/>
        <v>0</v>
      </c>
      <c r="P61" s="6">
        <f t="shared" si="130"/>
        <v>0</v>
      </c>
      <c r="Q61" s="109">
        <f t="shared" si="130"/>
        <v>0</v>
      </c>
      <c r="R61" s="146"/>
    </row>
    <row r="62" spans="1:18" ht="30" x14ac:dyDescent="0.25">
      <c r="A62" s="165" t="s">
        <v>50</v>
      </c>
      <c r="B62" s="18">
        <v>0</v>
      </c>
      <c r="C62" s="28">
        <f>B62*0.09</f>
        <v>0</v>
      </c>
      <c r="D62" s="28">
        <f>SUM(B62:C62)</f>
        <v>0</v>
      </c>
      <c r="E62" s="27" t="s">
        <v>272</v>
      </c>
      <c r="F62" s="19">
        <v>1</v>
      </c>
      <c r="G62" s="80">
        <f t="shared" si="92"/>
        <v>0</v>
      </c>
      <c r="H62" s="81">
        <f t="shared" ref="H62" si="131">1-G62-F62</f>
        <v>0</v>
      </c>
      <c r="I62" s="22">
        <f t="shared" si="93"/>
        <v>0</v>
      </c>
      <c r="J62" s="130">
        <f t="shared" ref="J62" si="132">F62*C62</f>
        <v>0</v>
      </c>
      <c r="K62" s="131">
        <f t="shared" ref="K62" si="133">J62+I62</f>
        <v>0</v>
      </c>
      <c r="L62" s="22">
        <f t="shared" ref="L62" si="134">G62*B62</f>
        <v>0</v>
      </c>
      <c r="M62" s="24">
        <f t="shared" ref="M62" si="135">G62*C62</f>
        <v>0</v>
      </c>
      <c r="N62" s="23">
        <f t="shared" ref="N62" si="136">M62+L62</f>
        <v>0</v>
      </c>
      <c r="O62" s="22">
        <f t="shared" ref="O62" si="137">H62*B62</f>
        <v>0</v>
      </c>
      <c r="P62" s="24">
        <f t="shared" ref="P62" si="138">H62*C62</f>
        <v>0</v>
      </c>
      <c r="Q62" s="23">
        <f t="shared" ref="Q62" si="139">P62+O62</f>
        <v>0</v>
      </c>
    </row>
    <row r="63" spans="1:18" s="35" customFormat="1" x14ac:dyDescent="0.25">
      <c r="A63" s="167"/>
      <c r="B63" s="28"/>
      <c r="C63" s="28"/>
      <c r="D63" s="28"/>
      <c r="E63" s="16"/>
      <c r="F63" s="29"/>
      <c r="G63" s="77"/>
      <c r="H63" s="77"/>
      <c r="I63" s="53"/>
      <c r="J63" s="34"/>
      <c r="K63" s="32"/>
      <c r="L63" s="53"/>
      <c r="M63" s="16"/>
      <c r="N63" s="60"/>
      <c r="O63" s="53"/>
      <c r="P63" s="16"/>
      <c r="Q63" s="32"/>
      <c r="R63" s="147"/>
    </row>
    <row r="64" spans="1:18" s="99" customFormat="1" ht="30" x14ac:dyDescent="0.25">
      <c r="A64" s="166" t="s">
        <v>35</v>
      </c>
      <c r="B64" s="100">
        <v>0</v>
      </c>
      <c r="C64" s="100">
        <f>B64*0.09</f>
        <v>0</v>
      </c>
      <c r="D64" s="100">
        <f>C64+B64</f>
        <v>0</v>
      </c>
      <c r="E64" s="27" t="s">
        <v>272</v>
      </c>
      <c r="F64" s="14">
        <v>1</v>
      </c>
      <c r="G64" s="77">
        <f t="shared" si="92"/>
        <v>0</v>
      </c>
      <c r="H64" s="14">
        <f>1-G64-F64</f>
        <v>0</v>
      </c>
      <c r="I64" s="117">
        <f t="shared" si="93"/>
        <v>0</v>
      </c>
      <c r="J64" s="118">
        <f>F64*C64</f>
        <v>0</v>
      </c>
      <c r="K64" s="109">
        <f>J64+I64</f>
        <v>0</v>
      </c>
      <c r="L64" s="117">
        <f>G64*B64</f>
        <v>0</v>
      </c>
      <c r="M64" s="119">
        <f>G64*C64</f>
        <v>0</v>
      </c>
      <c r="N64" s="109">
        <f>M64+L64</f>
        <v>0</v>
      </c>
      <c r="O64" s="101">
        <f>B64*H64</f>
        <v>0</v>
      </c>
      <c r="P64" s="6">
        <f>C64*H64</f>
        <v>0</v>
      </c>
      <c r="Q64" s="109">
        <f>P64+O64</f>
        <v>0</v>
      </c>
      <c r="R64" s="146"/>
    </row>
    <row r="65" spans="1:20" s="84" customFormat="1" x14ac:dyDescent="0.25">
      <c r="A65" s="176"/>
      <c r="B65" s="85"/>
      <c r="C65" s="85"/>
      <c r="D65" s="85"/>
      <c r="E65" s="90"/>
      <c r="F65" s="86"/>
      <c r="G65" s="87"/>
      <c r="H65" s="87"/>
      <c r="I65" s="88"/>
      <c r="J65" s="125"/>
      <c r="K65" s="73"/>
      <c r="L65" s="88"/>
      <c r="M65" s="127"/>
      <c r="N65" s="140"/>
      <c r="O65" s="88"/>
      <c r="P65" s="90"/>
      <c r="Q65" s="212"/>
      <c r="R65" s="213"/>
      <c r="S65" s="213"/>
      <c r="T65" s="213"/>
    </row>
    <row r="66" spans="1:20" s="111" customFormat="1" x14ac:dyDescent="0.25">
      <c r="A66" s="169" t="s">
        <v>51</v>
      </c>
      <c r="B66" s="112">
        <f>SUM(B67:B71)</f>
        <v>10213</v>
      </c>
      <c r="C66" s="112">
        <f>B66*0.09</f>
        <v>919.17</v>
      </c>
      <c r="D66" s="112">
        <f>B66+C66</f>
        <v>11132.17</v>
      </c>
      <c r="E66" s="375"/>
      <c r="F66" s="47">
        <f>AVERAGE(F67:F71)</f>
        <v>0</v>
      </c>
      <c r="G66" s="47">
        <f t="shared" ref="G66:H66" si="140">AVERAGE(G67:G71)</f>
        <v>0</v>
      </c>
      <c r="H66" s="47">
        <f t="shared" si="140"/>
        <v>1</v>
      </c>
      <c r="I66" s="113">
        <f>SUM(I67:I71)</f>
        <v>0</v>
      </c>
      <c r="J66" s="126">
        <f>SUM(J67:J71)</f>
        <v>0</v>
      </c>
      <c r="K66" s="114">
        <f t="shared" ref="K66:K71" si="141">J66+I66</f>
        <v>0</v>
      </c>
      <c r="L66" s="113">
        <f>SUM(L67:L71)</f>
        <v>0</v>
      </c>
      <c r="M66" s="126">
        <f>SUM(M67:M71)</f>
        <v>0</v>
      </c>
      <c r="N66" s="114">
        <f t="shared" ref="N66:N71" si="142">M66+L66</f>
        <v>0</v>
      </c>
      <c r="O66" s="113">
        <f>SUM(O67:O71)</f>
        <v>10213</v>
      </c>
      <c r="P66" s="113">
        <f>SUM(P67:P71)</f>
        <v>919.17</v>
      </c>
      <c r="Q66" s="114">
        <f t="shared" ref="Q66:Q71" si="143">P66+O66</f>
        <v>11132.17</v>
      </c>
      <c r="R66" s="148"/>
    </row>
    <row r="67" spans="1:20" s="120" customFormat="1" x14ac:dyDescent="0.25">
      <c r="A67" s="174" t="s">
        <v>52</v>
      </c>
      <c r="B67" s="116">
        <v>7100</v>
      </c>
      <c r="C67" s="28">
        <f t="shared" ref="C67:C71" si="144">B67*0.09</f>
        <v>639</v>
      </c>
      <c r="D67" s="28">
        <f t="shared" ref="D67:D71" si="145">SUM(B67:C67)</f>
        <v>7739</v>
      </c>
      <c r="E67" s="373" t="s">
        <v>149</v>
      </c>
      <c r="F67" s="75">
        <v>0</v>
      </c>
      <c r="G67" s="76">
        <v>0</v>
      </c>
      <c r="H67" s="77">
        <f>1-G67-F67</f>
        <v>1</v>
      </c>
      <c r="I67" s="117">
        <f t="shared" ref="I67:I71" si="146">F67*B67</f>
        <v>0</v>
      </c>
      <c r="J67" s="118">
        <f>F67*C67</f>
        <v>0</v>
      </c>
      <c r="K67" s="121">
        <f t="shared" si="141"/>
        <v>0</v>
      </c>
      <c r="L67" s="117">
        <f>G67*B67</f>
        <v>0</v>
      </c>
      <c r="M67" s="119">
        <f>G67*C67</f>
        <v>0</v>
      </c>
      <c r="N67" s="121">
        <f t="shared" si="142"/>
        <v>0</v>
      </c>
      <c r="O67" s="101">
        <f>B67*H67</f>
        <v>7100</v>
      </c>
      <c r="P67" s="6">
        <f>C67*H67</f>
        <v>639</v>
      </c>
      <c r="Q67" s="121">
        <f t="shared" si="143"/>
        <v>7739</v>
      </c>
      <c r="R67" s="149"/>
    </row>
    <row r="68" spans="1:20" s="106" customFormat="1" x14ac:dyDescent="0.25">
      <c r="A68" s="166" t="s">
        <v>15</v>
      </c>
      <c r="B68" s="122">
        <v>2145</v>
      </c>
      <c r="C68" s="28">
        <f t="shared" si="144"/>
        <v>193.04999999999998</v>
      </c>
      <c r="D68" s="28">
        <f t="shared" si="145"/>
        <v>2338.0500000000002</v>
      </c>
      <c r="E68" s="373" t="s">
        <v>149</v>
      </c>
      <c r="F68" s="51">
        <v>0</v>
      </c>
      <c r="G68" s="76">
        <v>0</v>
      </c>
      <c r="H68" s="77">
        <f t="shared" ref="H68:H71" si="147">1-G68-F68</f>
        <v>1</v>
      </c>
      <c r="I68" s="117">
        <f t="shared" si="146"/>
        <v>0</v>
      </c>
      <c r="J68" s="118">
        <f>F68*C68</f>
        <v>0</v>
      </c>
      <c r="K68" s="121">
        <f t="shared" si="141"/>
        <v>0</v>
      </c>
      <c r="L68" s="117">
        <f>G68*B68</f>
        <v>0</v>
      </c>
      <c r="M68" s="119">
        <f>G68*C68</f>
        <v>0</v>
      </c>
      <c r="N68" s="121">
        <f t="shared" si="142"/>
        <v>0</v>
      </c>
      <c r="O68" s="101">
        <f>B68*H68</f>
        <v>2145</v>
      </c>
      <c r="P68" s="6">
        <f>C68*H68</f>
        <v>193.04999999999998</v>
      </c>
      <c r="Q68" s="121">
        <f t="shared" si="143"/>
        <v>2338.0500000000002</v>
      </c>
      <c r="R68" s="153"/>
    </row>
    <row r="69" spans="1:20" s="106" customFormat="1" x14ac:dyDescent="0.25">
      <c r="A69" s="166" t="s">
        <v>37</v>
      </c>
      <c r="B69" s="122">
        <v>696</v>
      </c>
      <c r="C69" s="28">
        <f t="shared" si="144"/>
        <v>62.64</v>
      </c>
      <c r="D69" s="28">
        <f t="shared" si="145"/>
        <v>758.64</v>
      </c>
      <c r="E69" s="373" t="s">
        <v>149</v>
      </c>
      <c r="F69" s="51">
        <v>0</v>
      </c>
      <c r="G69" s="76">
        <v>0</v>
      </c>
      <c r="H69" s="77">
        <f t="shared" si="147"/>
        <v>1</v>
      </c>
      <c r="I69" s="117">
        <f t="shared" si="146"/>
        <v>0</v>
      </c>
      <c r="J69" s="118">
        <f>F69*C69</f>
        <v>0</v>
      </c>
      <c r="K69" s="121">
        <f t="shared" si="141"/>
        <v>0</v>
      </c>
      <c r="L69" s="117">
        <f>G69*B69</f>
        <v>0</v>
      </c>
      <c r="M69" s="119">
        <f>G69*C69</f>
        <v>0</v>
      </c>
      <c r="N69" s="121">
        <f t="shared" si="142"/>
        <v>0</v>
      </c>
      <c r="O69" s="101">
        <f>B69*H69</f>
        <v>696</v>
      </c>
      <c r="P69" s="6">
        <f>C69*H69</f>
        <v>62.64</v>
      </c>
      <c r="Q69" s="121">
        <f t="shared" si="143"/>
        <v>758.64</v>
      </c>
      <c r="R69" s="153"/>
    </row>
    <row r="70" spans="1:20" s="106" customFormat="1" x14ac:dyDescent="0.25">
      <c r="A70" s="166" t="s">
        <v>53</v>
      </c>
      <c r="B70" s="122">
        <v>272</v>
      </c>
      <c r="C70" s="28">
        <f t="shared" si="144"/>
        <v>24.48</v>
      </c>
      <c r="D70" s="28">
        <f t="shared" si="145"/>
        <v>296.48</v>
      </c>
      <c r="E70" s="373" t="s">
        <v>149</v>
      </c>
      <c r="F70" s="51">
        <v>0</v>
      </c>
      <c r="G70" s="76">
        <v>0</v>
      </c>
      <c r="H70" s="77">
        <f t="shared" si="147"/>
        <v>1</v>
      </c>
      <c r="I70" s="117">
        <f t="shared" si="146"/>
        <v>0</v>
      </c>
      <c r="J70" s="118">
        <f>F70*C70</f>
        <v>0</v>
      </c>
      <c r="K70" s="121">
        <f t="shared" si="141"/>
        <v>0</v>
      </c>
      <c r="L70" s="117">
        <f>G70*B70</f>
        <v>0</v>
      </c>
      <c r="M70" s="119">
        <f>G70*C70</f>
        <v>0</v>
      </c>
      <c r="N70" s="121">
        <f t="shared" si="142"/>
        <v>0</v>
      </c>
      <c r="O70" s="101">
        <f>B70*H70</f>
        <v>272</v>
      </c>
      <c r="P70" s="6">
        <f>C70*H70</f>
        <v>24.48</v>
      </c>
      <c r="Q70" s="121">
        <f t="shared" si="143"/>
        <v>296.48</v>
      </c>
      <c r="R70" s="153"/>
    </row>
    <row r="71" spans="1:20" s="106" customFormat="1" x14ac:dyDescent="0.25">
      <c r="A71" s="166" t="s">
        <v>54</v>
      </c>
      <c r="B71" s="122">
        <v>0</v>
      </c>
      <c r="C71" s="28">
        <f t="shared" si="144"/>
        <v>0</v>
      </c>
      <c r="D71" s="28">
        <f t="shared" si="145"/>
        <v>0</v>
      </c>
      <c r="E71" s="16"/>
      <c r="F71" s="51">
        <v>0</v>
      </c>
      <c r="G71" s="76">
        <v>0</v>
      </c>
      <c r="H71" s="77">
        <f t="shared" si="147"/>
        <v>1</v>
      </c>
      <c r="I71" s="117">
        <f t="shared" si="146"/>
        <v>0</v>
      </c>
      <c r="J71" s="118">
        <f>F71*C71</f>
        <v>0</v>
      </c>
      <c r="K71" s="121">
        <f t="shared" si="141"/>
        <v>0</v>
      </c>
      <c r="L71" s="117">
        <f>I71*D71</f>
        <v>0</v>
      </c>
      <c r="M71" s="119">
        <f>G71*C71</f>
        <v>0</v>
      </c>
      <c r="N71" s="121">
        <f t="shared" si="142"/>
        <v>0</v>
      </c>
      <c r="O71" s="101">
        <f>B71*H71</f>
        <v>0</v>
      </c>
      <c r="P71" s="6">
        <f>C71*H71</f>
        <v>0</v>
      </c>
      <c r="Q71" s="121">
        <f t="shared" si="143"/>
        <v>0</v>
      </c>
      <c r="R71" s="153"/>
    </row>
    <row r="72" spans="1:20" s="84" customFormat="1" x14ac:dyDescent="0.25">
      <c r="A72" s="177"/>
      <c r="B72" s="37"/>
      <c r="C72" s="93"/>
      <c r="D72" s="93"/>
      <c r="E72" s="43"/>
      <c r="F72" s="86"/>
      <c r="G72" s="87"/>
      <c r="H72" s="87"/>
      <c r="I72" s="88"/>
      <c r="J72" s="89"/>
      <c r="K72" s="73"/>
      <c r="L72" s="88"/>
      <c r="M72" s="90"/>
      <c r="N72" s="140"/>
      <c r="O72" s="88"/>
      <c r="P72" s="90"/>
      <c r="Q72" s="212"/>
      <c r="R72" s="213"/>
      <c r="S72" s="213"/>
      <c r="T72" s="213"/>
    </row>
    <row r="73" spans="1:20" s="111" customFormat="1" x14ac:dyDescent="0.25">
      <c r="A73" s="169" t="s">
        <v>55</v>
      </c>
      <c r="B73" s="112">
        <f>SUM(B74,B80,B82,B90,B92)</f>
        <v>290703</v>
      </c>
      <c r="C73" s="112">
        <f>B73*0.09</f>
        <v>26163.27</v>
      </c>
      <c r="D73" s="112">
        <f>B73+C73</f>
        <v>316866.27</v>
      </c>
      <c r="E73" s="375"/>
      <c r="F73" s="47">
        <f>AVERAGE(F75:F78,F80,F83:F88,F90,F92)</f>
        <v>0</v>
      </c>
      <c r="G73" s="47">
        <f t="shared" ref="G73:H73" si="148">AVERAGE(G75:G78,G80,G83:G88,G90,G92)</f>
        <v>0.92307692307692313</v>
      </c>
      <c r="H73" s="47">
        <f t="shared" si="148"/>
        <v>0</v>
      </c>
      <c r="I73" s="113">
        <f>SUM(I74,I80,I82,I90,I92)</f>
        <v>0</v>
      </c>
      <c r="J73" s="114">
        <f t="shared" ref="J73:M73" si="149">SUM(J74,J80,J82,J90,J92)</f>
        <v>0</v>
      </c>
      <c r="K73" s="114">
        <f>SUM(K74,K80,K82,K90,K92)</f>
        <v>0</v>
      </c>
      <c r="L73" s="113">
        <f>SUM(L74,L80,L82,L90,L92)</f>
        <v>290703</v>
      </c>
      <c r="M73" s="114">
        <f t="shared" si="149"/>
        <v>26163.27</v>
      </c>
      <c r="N73" s="114">
        <f>SUM(N74,N80,N82,N90,N92)</f>
        <v>316866.27</v>
      </c>
      <c r="O73" s="113">
        <f>SUM(O74,O80,O82,O90,O92)</f>
        <v>0</v>
      </c>
      <c r="P73" s="114">
        <f t="shared" ref="P73" si="150">SUM(P74,P80,P82,P90,P92)</f>
        <v>0</v>
      </c>
      <c r="Q73" s="114">
        <f>SUM(Q74,Q80,Q82,Q90,Q92)</f>
        <v>0</v>
      </c>
      <c r="R73" s="148"/>
    </row>
    <row r="74" spans="1:20" s="120" customFormat="1" x14ac:dyDescent="0.25">
      <c r="A74" s="174" t="s">
        <v>10</v>
      </c>
      <c r="B74" s="116">
        <f>SUM(B75:B78)</f>
        <v>107604</v>
      </c>
      <c r="C74" s="116">
        <f t="shared" ref="C74:D74" si="151">SUM(C75:C78)</f>
        <v>9684.36</v>
      </c>
      <c r="D74" s="116">
        <f t="shared" si="151"/>
        <v>117288.36</v>
      </c>
      <c r="E74" s="119"/>
      <c r="F74" s="78">
        <f>AVERAGE(F75:F78)</f>
        <v>0</v>
      </c>
      <c r="G74" s="77">
        <v>1</v>
      </c>
      <c r="H74" s="14">
        <f>1-G74-F74</f>
        <v>0</v>
      </c>
      <c r="I74" s="117">
        <f t="shared" ref="I74:P74" si="152">SUM(I75:I78)</f>
        <v>0</v>
      </c>
      <c r="J74" s="118">
        <f t="shared" si="152"/>
        <v>0</v>
      </c>
      <c r="K74" s="121">
        <f t="shared" si="152"/>
        <v>0</v>
      </c>
      <c r="L74" s="117">
        <f t="shared" si="152"/>
        <v>107604</v>
      </c>
      <c r="M74" s="119">
        <f t="shared" si="152"/>
        <v>9684.36</v>
      </c>
      <c r="N74" s="121">
        <f t="shared" si="152"/>
        <v>117288.36</v>
      </c>
      <c r="O74" s="101">
        <f t="shared" si="152"/>
        <v>0</v>
      </c>
      <c r="P74" s="6">
        <f t="shared" si="152"/>
        <v>0</v>
      </c>
      <c r="Q74" s="121">
        <f>P74+O74</f>
        <v>0</v>
      </c>
      <c r="R74" s="149"/>
    </row>
    <row r="75" spans="1:20" s="12" customFormat="1" ht="30" x14ac:dyDescent="0.25">
      <c r="A75" s="165" t="s">
        <v>105</v>
      </c>
      <c r="B75" s="18">
        <v>3604</v>
      </c>
      <c r="C75" s="28">
        <f t="shared" ref="C75:C78" si="153">B75*0.09</f>
        <v>324.36</v>
      </c>
      <c r="D75" s="28">
        <f t="shared" ref="D75:D78" si="154">SUM(B75:C75)</f>
        <v>3928.36</v>
      </c>
      <c r="E75" s="27" t="s">
        <v>272</v>
      </c>
      <c r="F75" s="79">
        <v>0</v>
      </c>
      <c r="G75" s="80">
        <v>1</v>
      </c>
      <c r="H75" s="81">
        <f t="shared" ref="H75:H80" si="155">1-G75-F75</f>
        <v>0</v>
      </c>
      <c r="I75" s="82">
        <f t="shared" ref="I75:I92" si="156">F75*B75</f>
        <v>0</v>
      </c>
      <c r="J75" s="132">
        <f t="shared" ref="J75:J78" si="157">F75*C75</f>
        <v>0</v>
      </c>
      <c r="K75" s="23">
        <f t="shared" ref="K75:K78" si="158">J75+I75</f>
        <v>0</v>
      </c>
      <c r="L75" s="22">
        <f t="shared" ref="L75:L78" si="159">G75*B75</f>
        <v>3604</v>
      </c>
      <c r="M75" s="24">
        <f t="shared" ref="M75:M78" si="160">G75*C75</f>
        <v>324.36</v>
      </c>
      <c r="N75" s="23">
        <f t="shared" ref="N75:N78" si="161">M75+L75</f>
        <v>3928.36</v>
      </c>
      <c r="O75" s="22">
        <f t="shared" ref="O75:O78" si="162">H75*B75</f>
        <v>0</v>
      </c>
      <c r="P75" s="24">
        <f t="shared" ref="P75:P78" si="163">H75*C75</f>
        <v>0</v>
      </c>
      <c r="Q75" s="23">
        <f t="shared" ref="Q75:Q78" si="164">P75+O75</f>
        <v>0</v>
      </c>
      <c r="R75" s="152"/>
    </row>
    <row r="76" spans="1:20" s="12" customFormat="1" ht="30" x14ac:dyDescent="0.25">
      <c r="A76" s="165" t="s">
        <v>56</v>
      </c>
      <c r="B76" s="18">
        <v>70000</v>
      </c>
      <c r="C76" s="28">
        <f t="shared" si="153"/>
        <v>6300</v>
      </c>
      <c r="D76" s="28">
        <f t="shared" si="154"/>
        <v>76300</v>
      </c>
      <c r="E76" s="27" t="s">
        <v>272</v>
      </c>
      <c r="F76" s="79">
        <v>0</v>
      </c>
      <c r="G76" s="80">
        <v>1</v>
      </c>
      <c r="H76" s="81">
        <f t="shared" ref="H76" si="165">1-G76-F76</f>
        <v>0</v>
      </c>
      <c r="I76" s="82">
        <f t="shared" ref="I76" si="166">F76*B76</f>
        <v>0</v>
      </c>
      <c r="J76" s="132">
        <f t="shared" ref="J76" si="167">F76*C76</f>
        <v>0</v>
      </c>
      <c r="K76" s="23">
        <f t="shared" ref="K76" si="168">J76+I76</f>
        <v>0</v>
      </c>
      <c r="L76" s="22">
        <f t="shared" ref="L76" si="169">G76*B76</f>
        <v>70000</v>
      </c>
      <c r="M76" s="24">
        <f t="shared" ref="M76" si="170">G76*C76</f>
        <v>6300</v>
      </c>
      <c r="N76" s="23">
        <f t="shared" ref="N76" si="171">M76+L76</f>
        <v>76300</v>
      </c>
      <c r="O76" s="22">
        <f t="shared" ref="O76" si="172">H76*B76</f>
        <v>0</v>
      </c>
      <c r="P76" s="24">
        <f t="shared" ref="P76" si="173">H76*C76</f>
        <v>0</v>
      </c>
      <c r="Q76" s="23">
        <f t="shared" ref="Q76" si="174">P76+O76</f>
        <v>0</v>
      </c>
      <c r="R76" s="152"/>
    </row>
    <row r="77" spans="1:20" s="12" customFormat="1" ht="30" x14ac:dyDescent="0.25">
      <c r="A77" s="165" t="s">
        <v>57</v>
      </c>
      <c r="B77" s="18">
        <v>27000</v>
      </c>
      <c r="C77" s="28">
        <f t="shared" si="153"/>
        <v>2430</v>
      </c>
      <c r="D77" s="28">
        <f t="shared" si="154"/>
        <v>29430</v>
      </c>
      <c r="E77" s="27" t="s">
        <v>272</v>
      </c>
      <c r="F77" s="79">
        <v>0</v>
      </c>
      <c r="G77" s="80">
        <v>1</v>
      </c>
      <c r="H77" s="81">
        <f t="shared" si="155"/>
        <v>0</v>
      </c>
      <c r="I77" s="82">
        <f t="shared" si="156"/>
        <v>0</v>
      </c>
      <c r="J77" s="132">
        <f t="shared" si="157"/>
        <v>0</v>
      </c>
      <c r="K77" s="23">
        <f t="shared" si="158"/>
        <v>0</v>
      </c>
      <c r="L77" s="22">
        <f t="shared" si="159"/>
        <v>27000</v>
      </c>
      <c r="M77" s="24">
        <f t="shared" si="160"/>
        <v>2430</v>
      </c>
      <c r="N77" s="23">
        <f t="shared" si="161"/>
        <v>29430</v>
      </c>
      <c r="O77" s="22">
        <f t="shared" si="162"/>
        <v>0</v>
      </c>
      <c r="P77" s="24">
        <f t="shared" si="163"/>
        <v>0</v>
      </c>
      <c r="Q77" s="23">
        <f t="shared" si="164"/>
        <v>0</v>
      </c>
      <c r="R77" s="152"/>
    </row>
    <row r="78" spans="1:20" s="12" customFormat="1" ht="30" x14ac:dyDescent="0.25">
      <c r="A78" s="165" t="s">
        <v>58</v>
      </c>
      <c r="B78" s="18">
        <v>7000</v>
      </c>
      <c r="C78" s="28">
        <f t="shared" si="153"/>
        <v>630</v>
      </c>
      <c r="D78" s="28">
        <f t="shared" si="154"/>
        <v>7630</v>
      </c>
      <c r="E78" s="27" t="s">
        <v>272</v>
      </c>
      <c r="F78" s="79">
        <v>0</v>
      </c>
      <c r="G78" s="80">
        <v>1</v>
      </c>
      <c r="H78" s="81">
        <f t="shared" si="155"/>
        <v>0</v>
      </c>
      <c r="I78" s="82">
        <f t="shared" si="156"/>
        <v>0</v>
      </c>
      <c r="J78" s="132">
        <f t="shared" si="157"/>
        <v>0</v>
      </c>
      <c r="K78" s="23">
        <f t="shared" si="158"/>
        <v>0</v>
      </c>
      <c r="L78" s="22">
        <f t="shared" si="159"/>
        <v>7000</v>
      </c>
      <c r="M78" s="24">
        <f t="shared" si="160"/>
        <v>630</v>
      </c>
      <c r="N78" s="23">
        <f t="shared" si="161"/>
        <v>7630</v>
      </c>
      <c r="O78" s="22">
        <f t="shared" si="162"/>
        <v>0</v>
      </c>
      <c r="P78" s="24">
        <f t="shared" si="163"/>
        <v>0</v>
      </c>
      <c r="Q78" s="23">
        <f t="shared" si="164"/>
        <v>0</v>
      </c>
      <c r="R78" s="152"/>
    </row>
    <row r="79" spans="1:20" s="12" customFormat="1" x14ac:dyDescent="0.25">
      <c r="A79" s="175"/>
      <c r="B79" s="13"/>
      <c r="C79" s="13"/>
      <c r="D79" s="13"/>
      <c r="E79" s="27"/>
      <c r="F79" s="14"/>
      <c r="G79" s="77"/>
      <c r="H79" s="77"/>
      <c r="I79" s="53"/>
      <c r="J79" s="83"/>
      <c r="K79" s="65"/>
      <c r="L79" s="53"/>
      <c r="M79" s="27"/>
      <c r="N79" s="54"/>
      <c r="O79" s="53"/>
      <c r="P79" s="27"/>
      <c r="Q79" s="65"/>
      <c r="R79" s="152"/>
    </row>
    <row r="80" spans="1:20" s="120" customFormat="1" ht="30" x14ac:dyDescent="0.25">
      <c r="A80" s="174" t="s">
        <v>15</v>
      </c>
      <c r="B80" s="116">
        <v>0</v>
      </c>
      <c r="C80" s="100">
        <f>B80*0.09</f>
        <v>0</v>
      </c>
      <c r="D80" s="100">
        <f>C80+B80</f>
        <v>0</v>
      </c>
      <c r="E80" s="27" t="s">
        <v>272</v>
      </c>
      <c r="F80" s="75">
        <v>0</v>
      </c>
      <c r="G80" s="76">
        <v>1</v>
      </c>
      <c r="H80" s="77">
        <f t="shared" si="155"/>
        <v>0</v>
      </c>
      <c r="I80" s="117">
        <f t="shared" si="156"/>
        <v>0</v>
      </c>
      <c r="J80" s="118">
        <f>F80*C80</f>
        <v>0</v>
      </c>
      <c r="K80" s="121">
        <f t="shared" ref="K80:K88" si="175">J80+I80</f>
        <v>0</v>
      </c>
      <c r="L80" s="117">
        <f>G80*B80</f>
        <v>0</v>
      </c>
      <c r="M80" s="119">
        <f>G80*C80</f>
        <v>0</v>
      </c>
      <c r="N80" s="121">
        <f t="shared" ref="N80:N88" si="176">M80+L80</f>
        <v>0</v>
      </c>
      <c r="O80" s="101">
        <f>B80*H80</f>
        <v>0</v>
      </c>
      <c r="P80" s="6">
        <f>C80*H80</f>
        <v>0</v>
      </c>
      <c r="Q80" s="121">
        <f t="shared" ref="Q80" si="177">P80+O80</f>
        <v>0</v>
      </c>
      <c r="R80" s="149"/>
    </row>
    <row r="81" spans="1:20" s="12" customFormat="1" x14ac:dyDescent="0.25">
      <c r="A81" s="165"/>
      <c r="B81" s="18"/>
      <c r="C81" s="28"/>
      <c r="D81" s="28"/>
      <c r="E81" s="16"/>
      <c r="F81" s="14"/>
      <c r="G81" s="77"/>
      <c r="H81" s="77"/>
      <c r="I81" s="53"/>
      <c r="J81" s="83"/>
      <c r="K81" s="91"/>
      <c r="L81" s="53"/>
      <c r="M81" s="27"/>
      <c r="N81" s="91"/>
      <c r="O81" s="53"/>
      <c r="P81" s="27"/>
      <c r="Q81" s="91"/>
      <c r="R81" s="152"/>
    </row>
    <row r="82" spans="1:20" s="120" customFormat="1" x14ac:dyDescent="0.25">
      <c r="A82" s="174" t="s">
        <v>37</v>
      </c>
      <c r="B82" s="116">
        <f>SUM(B83:B85,B87,B88)</f>
        <v>183099</v>
      </c>
      <c r="C82" s="116">
        <f>B82*0.09</f>
        <v>16478.91</v>
      </c>
      <c r="D82" s="116">
        <f>SUM(B82:C82)</f>
        <v>199577.91</v>
      </c>
      <c r="E82" s="119"/>
      <c r="F82" s="78">
        <f>AVERAGE(F83:F88)</f>
        <v>0</v>
      </c>
      <c r="G82" s="77">
        <v>1</v>
      </c>
      <c r="H82" s="78">
        <f>AVERAGE(H83:H88)</f>
        <v>0</v>
      </c>
      <c r="I82" s="117">
        <f t="shared" ref="I82:P82" si="178">SUM(I83:I88)</f>
        <v>0</v>
      </c>
      <c r="J82" s="118">
        <f t="shared" si="178"/>
        <v>0</v>
      </c>
      <c r="K82" s="121">
        <f t="shared" si="178"/>
        <v>0</v>
      </c>
      <c r="L82" s="117">
        <f t="shared" si="178"/>
        <v>183099</v>
      </c>
      <c r="M82" s="119">
        <f t="shared" si="178"/>
        <v>16478.91</v>
      </c>
      <c r="N82" s="121">
        <f t="shared" si="178"/>
        <v>199577.91</v>
      </c>
      <c r="O82" s="101">
        <f t="shared" si="178"/>
        <v>0</v>
      </c>
      <c r="P82" s="6">
        <f t="shared" si="178"/>
        <v>0</v>
      </c>
      <c r="Q82" s="121">
        <f t="shared" ref="Q82:Q88" si="179">P82+O82</f>
        <v>0</v>
      </c>
      <c r="R82" s="149"/>
    </row>
    <row r="83" spans="1:20" s="12" customFormat="1" ht="30" x14ac:dyDescent="0.25">
      <c r="A83" s="165" t="s">
        <v>106</v>
      </c>
      <c r="B83" s="18">
        <v>81099</v>
      </c>
      <c r="C83" s="28">
        <f t="shared" ref="C83:C88" si="180">B83*0.09</f>
        <v>7298.91</v>
      </c>
      <c r="D83" s="28">
        <f t="shared" ref="D83:D88" si="181">SUM(B83:C83)</f>
        <v>88397.91</v>
      </c>
      <c r="E83" s="27" t="s">
        <v>272</v>
      </c>
      <c r="F83" s="79">
        <v>0</v>
      </c>
      <c r="G83" s="80">
        <v>1</v>
      </c>
      <c r="H83" s="81">
        <f t="shared" ref="H83:H92" si="182">1-G83-F83</f>
        <v>0</v>
      </c>
      <c r="I83" s="82">
        <f t="shared" ref="I83:I88" si="183">F83*B83</f>
        <v>0</v>
      </c>
      <c r="J83" s="132">
        <f t="shared" ref="J83:J88" si="184">F83*C83</f>
        <v>0</v>
      </c>
      <c r="K83" s="23">
        <f t="shared" si="175"/>
        <v>0</v>
      </c>
      <c r="L83" s="22">
        <f t="shared" ref="L83:L88" si="185">G83*B83</f>
        <v>81099</v>
      </c>
      <c r="M83" s="24">
        <f t="shared" ref="M83:M88" si="186">G83*C83</f>
        <v>7298.91</v>
      </c>
      <c r="N83" s="23">
        <f t="shared" si="176"/>
        <v>88397.91</v>
      </c>
      <c r="O83" s="22">
        <f t="shared" ref="O83:O88" si="187">H83*B83</f>
        <v>0</v>
      </c>
      <c r="P83" s="24">
        <f t="shared" ref="P83:P88" si="188">H83*C83</f>
        <v>0</v>
      </c>
      <c r="Q83" s="23">
        <f t="shared" si="179"/>
        <v>0</v>
      </c>
      <c r="R83" s="152"/>
    </row>
    <row r="84" spans="1:20" s="12" customFormat="1" ht="30" x14ac:dyDescent="0.25">
      <c r="A84" s="165" t="s">
        <v>60</v>
      </c>
      <c r="B84" s="18">
        <v>77000</v>
      </c>
      <c r="C84" s="28">
        <f t="shared" si="180"/>
        <v>6930</v>
      </c>
      <c r="D84" s="28">
        <f t="shared" si="181"/>
        <v>83930</v>
      </c>
      <c r="E84" s="27" t="s">
        <v>272</v>
      </c>
      <c r="F84" s="79">
        <v>0</v>
      </c>
      <c r="G84" s="80">
        <v>1</v>
      </c>
      <c r="H84" s="81">
        <f t="shared" si="182"/>
        <v>0</v>
      </c>
      <c r="I84" s="82">
        <f t="shared" si="183"/>
        <v>0</v>
      </c>
      <c r="J84" s="132">
        <f t="shared" si="184"/>
        <v>0</v>
      </c>
      <c r="K84" s="23">
        <f t="shared" si="175"/>
        <v>0</v>
      </c>
      <c r="L84" s="22">
        <f t="shared" si="185"/>
        <v>77000</v>
      </c>
      <c r="M84" s="24">
        <f t="shared" si="186"/>
        <v>6930</v>
      </c>
      <c r="N84" s="23">
        <f t="shared" si="176"/>
        <v>83930</v>
      </c>
      <c r="O84" s="22">
        <f t="shared" si="187"/>
        <v>0</v>
      </c>
      <c r="P84" s="24">
        <f t="shared" si="188"/>
        <v>0</v>
      </c>
      <c r="Q84" s="23">
        <f t="shared" si="179"/>
        <v>0</v>
      </c>
      <c r="R84" s="152"/>
    </row>
    <row r="85" spans="1:20" s="12" customFormat="1" ht="30" x14ac:dyDescent="0.25">
      <c r="A85" s="165" t="s">
        <v>61</v>
      </c>
      <c r="B85" s="18">
        <v>3000</v>
      </c>
      <c r="C85" s="28">
        <f t="shared" si="180"/>
        <v>270</v>
      </c>
      <c r="D85" s="28">
        <f t="shared" si="181"/>
        <v>3270</v>
      </c>
      <c r="E85" s="27" t="s">
        <v>272</v>
      </c>
      <c r="F85" s="79">
        <v>0</v>
      </c>
      <c r="G85" s="80">
        <v>1</v>
      </c>
      <c r="H85" s="81">
        <f t="shared" si="182"/>
        <v>0</v>
      </c>
      <c r="I85" s="82">
        <f t="shared" si="183"/>
        <v>0</v>
      </c>
      <c r="J85" s="132">
        <f t="shared" si="184"/>
        <v>0</v>
      </c>
      <c r="K85" s="23">
        <f t="shared" si="175"/>
        <v>0</v>
      </c>
      <c r="L85" s="22">
        <f t="shared" si="185"/>
        <v>3000</v>
      </c>
      <c r="M85" s="24">
        <f t="shared" si="186"/>
        <v>270</v>
      </c>
      <c r="N85" s="23">
        <f t="shared" si="176"/>
        <v>3270</v>
      </c>
      <c r="O85" s="22">
        <f t="shared" si="187"/>
        <v>0</v>
      </c>
      <c r="P85" s="24">
        <f t="shared" si="188"/>
        <v>0</v>
      </c>
      <c r="Q85" s="23">
        <f t="shared" si="179"/>
        <v>0</v>
      </c>
      <c r="R85" s="152"/>
    </row>
    <row r="86" spans="1:20" s="12" customFormat="1" ht="30" x14ac:dyDescent="0.25">
      <c r="A86" s="235" t="s">
        <v>107</v>
      </c>
      <c r="B86" s="18">
        <v>303800</v>
      </c>
      <c r="C86" s="28">
        <f t="shared" si="180"/>
        <v>27342</v>
      </c>
      <c r="D86" s="28">
        <f t="shared" si="181"/>
        <v>331142</v>
      </c>
      <c r="E86" s="27" t="s">
        <v>272</v>
      </c>
      <c r="F86" s="79">
        <v>0</v>
      </c>
      <c r="G86" s="80">
        <v>0</v>
      </c>
      <c r="H86" s="81">
        <v>0</v>
      </c>
      <c r="I86" s="82">
        <f t="shared" si="183"/>
        <v>0</v>
      </c>
      <c r="J86" s="132">
        <f t="shared" si="184"/>
        <v>0</v>
      </c>
      <c r="K86" s="23">
        <f t="shared" si="175"/>
        <v>0</v>
      </c>
      <c r="L86" s="22">
        <f t="shared" si="185"/>
        <v>0</v>
      </c>
      <c r="M86" s="24">
        <f t="shared" si="186"/>
        <v>0</v>
      </c>
      <c r="N86" s="23">
        <f t="shared" si="176"/>
        <v>0</v>
      </c>
      <c r="O86" s="22">
        <f t="shared" si="187"/>
        <v>0</v>
      </c>
      <c r="P86" s="24">
        <f t="shared" si="188"/>
        <v>0</v>
      </c>
      <c r="Q86" s="23">
        <f t="shared" si="179"/>
        <v>0</v>
      </c>
      <c r="R86" s="152"/>
    </row>
    <row r="87" spans="1:20" s="12" customFormat="1" ht="30" x14ac:dyDescent="0.25">
      <c r="A87" s="165" t="s">
        <v>62</v>
      </c>
      <c r="B87" s="18">
        <v>20000</v>
      </c>
      <c r="C87" s="28">
        <f t="shared" si="180"/>
        <v>1800</v>
      </c>
      <c r="D87" s="28">
        <f t="shared" si="181"/>
        <v>21800</v>
      </c>
      <c r="E87" s="27" t="s">
        <v>272</v>
      </c>
      <c r="F87" s="79">
        <v>0</v>
      </c>
      <c r="G87" s="80">
        <v>1</v>
      </c>
      <c r="H87" s="81">
        <f t="shared" si="182"/>
        <v>0</v>
      </c>
      <c r="I87" s="82">
        <f t="shared" si="183"/>
        <v>0</v>
      </c>
      <c r="J87" s="132">
        <f t="shared" si="184"/>
        <v>0</v>
      </c>
      <c r="K87" s="23">
        <f t="shared" si="175"/>
        <v>0</v>
      </c>
      <c r="L87" s="22">
        <f t="shared" si="185"/>
        <v>20000</v>
      </c>
      <c r="M87" s="24">
        <f t="shared" si="186"/>
        <v>1800</v>
      </c>
      <c r="N87" s="23">
        <f t="shared" si="176"/>
        <v>21800</v>
      </c>
      <c r="O87" s="22">
        <f t="shared" si="187"/>
        <v>0</v>
      </c>
      <c r="P87" s="24">
        <f t="shared" si="188"/>
        <v>0</v>
      </c>
      <c r="Q87" s="23">
        <f t="shared" si="179"/>
        <v>0</v>
      </c>
      <c r="R87" s="152"/>
    </row>
    <row r="88" spans="1:20" s="12" customFormat="1" ht="30" x14ac:dyDescent="0.25">
      <c r="A88" s="165" t="s">
        <v>108</v>
      </c>
      <c r="B88" s="18">
        <v>2000</v>
      </c>
      <c r="C88" s="28">
        <f t="shared" si="180"/>
        <v>180</v>
      </c>
      <c r="D88" s="28">
        <f t="shared" si="181"/>
        <v>2180</v>
      </c>
      <c r="E88" s="27" t="s">
        <v>272</v>
      </c>
      <c r="F88" s="79">
        <v>0</v>
      </c>
      <c r="G88" s="80">
        <v>1</v>
      </c>
      <c r="H88" s="81">
        <f t="shared" si="182"/>
        <v>0</v>
      </c>
      <c r="I88" s="82">
        <f t="shared" si="183"/>
        <v>0</v>
      </c>
      <c r="J88" s="132">
        <f t="shared" si="184"/>
        <v>0</v>
      </c>
      <c r="K88" s="23">
        <f t="shared" si="175"/>
        <v>0</v>
      </c>
      <c r="L88" s="22">
        <f t="shared" si="185"/>
        <v>2000</v>
      </c>
      <c r="M88" s="24">
        <f t="shared" si="186"/>
        <v>180</v>
      </c>
      <c r="N88" s="23">
        <f t="shared" si="176"/>
        <v>2180</v>
      </c>
      <c r="O88" s="22">
        <f t="shared" si="187"/>
        <v>0</v>
      </c>
      <c r="P88" s="24">
        <f t="shared" si="188"/>
        <v>0</v>
      </c>
      <c r="Q88" s="23">
        <f t="shared" si="179"/>
        <v>0</v>
      </c>
      <c r="R88" s="152"/>
    </row>
    <row r="89" spans="1:20" s="12" customFormat="1" x14ac:dyDescent="0.25">
      <c r="A89" s="175"/>
      <c r="B89" s="13"/>
      <c r="C89" s="13"/>
      <c r="D89" s="13"/>
      <c r="E89" s="27"/>
      <c r="F89" s="14"/>
      <c r="G89" s="77"/>
      <c r="H89" s="77"/>
      <c r="I89" s="53"/>
      <c r="J89" s="83"/>
      <c r="K89" s="65"/>
      <c r="L89" s="53"/>
      <c r="M89" s="27"/>
      <c r="N89" s="54"/>
      <c r="O89" s="53"/>
      <c r="P89" s="27"/>
      <c r="Q89" s="65"/>
      <c r="R89" s="152"/>
    </row>
    <row r="90" spans="1:20" s="99" customFormat="1" ht="30" x14ac:dyDescent="0.25">
      <c r="A90" s="164" t="s">
        <v>30</v>
      </c>
      <c r="B90" s="100">
        <v>0</v>
      </c>
      <c r="C90" s="100">
        <f>B90*0.09</f>
        <v>0</v>
      </c>
      <c r="D90" s="100">
        <f>C90+B90</f>
        <v>0</v>
      </c>
      <c r="E90" s="373" t="s">
        <v>272</v>
      </c>
      <c r="F90" s="51">
        <v>0</v>
      </c>
      <c r="G90" s="76">
        <v>1</v>
      </c>
      <c r="H90" s="77">
        <f t="shared" si="182"/>
        <v>0</v>
      </c>
      <c r="I90" s="117">
        <f t="shared" si="156"/>
        <v>0</v>
      </c>
      <c r="J90" s="118">
        <f>F90*C90</f>
        <v>0</v>
      </c>
      <c r="K90" s="109">
        <f t="shared" ref="K90" si="189">J90+I90</f>
        <v>0</v>
      </c>
      <c r="L90" s="117">
        <f>G90*B90</f>
        <v>0</v>
      </c>
      <c r="M90" s="119">
        <f>G90*C90</f>
        <v>0</v>
      </c>
      <c r="N90" s="109">
        <f t="shared" ref="N90" si="190">M90+L90</f>
        <v>0</v>
      </c>
      <c r="O90" s="101">
        <f>B90*H90</f>
        <v>0</v>
      </c>
      <c r="P90" s="6">
        <f>C90*H90</f>
        <v>0</v>
      </c>
      <c r="Q90" s="109">
        <f t="shared" ref="Q90" si="191">P90+O90</f>
        <v>0</v>
      </c>
      <c r="R90" s="146"/>
    </row>
    <row r="91" spans="1:20" s="35" customFormat="1" x14ac:dyDescent="0.25">
      <c r="A91" s="167"/>
      <c r="B91" s="28"/>
      <c r="C91" s="28"/>
      <c r="D91" s="28"/>
      <c r="E91" s="373"/>
      <c r="F91" s="29"/>
      <c r="G91" s="77"/>
      <c r="H91" s="77"/>
      <c r="I91" s="59"/>
      <c r="J91" s="34"/>
      <c r="K91" s="32"/>
      <c r="L91" s="53"/>
      <c r="M91" s="16"/>
      <c r="N91" s="60"/>
      <c r="O91" s="53"/>
      <c r="P91" s="16"/>
      <c r="Q91" s="32"/>
      <c r="R91" s="147"/>
    </row>
    <row r="92" spans="1:20" s="99" customFormat="1" ht="30" x14ac:dyDescent="0.25">
      <c r="A92" s="166" t="s">
        <v>35</v>
      </c>
      <c r="B92" s="100">
        <v>0</v>
      </c>
      <c r="C92" s="100">
        <f>B92*0.09</f>
        <v>0</v>
      </c>
      <c r="D92" s="100">
        <f>C92+B92</f>
        <v>0</v>
      </c>
      <c r="E92" s="27" t="s">
        <v>272</v>
      </c>
      <c r="F92" s="51">
        <v>0</v>
      </c>
      <c r="G92" s="76">
        <v>1</v>
      </c>
      <c r="H92" s="77">
        <f t="shared" si="182"/>
        <v>0</v>
      </c>
      <c r="I92" s="117">
        <f t="shared" si="156"/>
        <v>0</v>
      </c>
      <c r="J92" s="118">
        <f>F92*C92</f>
        <v>0</v>
      </c>
      <c r="K92" s="109">
        <f t="shared" ref="K92" si="192">J92+I92</f>
        <v>0</v>
      </c>
      <c r="L92" s="117">
        <f>G92*B92</f>
        <v>0</v>
      </c>
      <c r="M92" s="119">
        <f>G92*C92</f>
        <v>0</v>
      </c>
      <c r="N92" s="109">
        <f t="shared" ref="N92" si="193">M92+L92</f>
        <v>0</v>
      </c>
      <c r="O92" s="101">
        <f>B92*H92</f>
        <v>0</v>
      </c>
      <c r="P92" s="6">
        <f>C92*H92</f>
        <v>0</v>
      </c>
      <c r="Q92" s="109">
        <f t="shared" ref="Q92" si="194">P92+O92</f>
        <v>0</v>
      </c>
      <c r="R92" s="146"/>
    </row>
    <row r="93" spans="1:20" s="84" customFormat="1" x14ac:dyDescent="0.25">
      <c r="A93" s="177"/>
      <c r="B93" s="37"/>
      <c r="C93" s="93"/>
      <c r="D93" s="93"/>
      <c r="E93" s="43"/>
      <c r="F93" s="86"/>
      <c r="G93" s="87"/>
      <c r="H93" s="87"/>
      <c r="I93" s="88"/>
      <c r="J93" s="89"/>
      <c r="K93" s="73"/>
      <c r="L93" s="88"/>
      <c r="M93" s="90"/>
      <c r="N93" s="140"/>
      <c r="O93" s="88"/>
      <c r="P93" s="90"/>
      <c r="Q93" s="212"/>
      <c r="R93" s="213"/>
      <c r="S93" s="213"/>
      <c r="T93" s="213"/>
    </row>
    <row r="94" spans="1:20" s="111" customFormat="1" x14ac:dyDescent="0.25">
      <c r="A94" s="169" t="s">
        <v>65</v>
      </c>
      <c r="B94" s="112">
        <f>SUM(B95,B103,B106,B108,B110)</f>
        <v>237972</v>
      </c>
      <c r="C94" s="112">
        <f>B94*0.09</f>
        <v>21417.48</v>
      </c>
      <c r="D94" s="112">
        <f>C94+B94</f>
        <v>259389.48</v>
      </c>
      <c r="E94" s="375"/>
      <c r="F94" s="47">
        <f>AVERAGE(F96:F101,F104,F106,F108,F110)</f>
        <v>0.21800000000000003</v>
      </c>
      <c r="G94" s="48">
        <f>AVERAGE(G96:G101,G104,G106,G108,G110)</f>
        <v>7.6999999999999999E-2</v>
      </c>
      <c r="H94" s="48">
        <f>AVERAGE(H96:H101,H104,H106,H108,H110)</f>
        <v>0.70499999999999996</v>
      </c>
      <c r="I94" s="113">
        <f>SUM(I95,I103,I106,I108,I110)</f>
        <v>77040</v>
      </c>
      <c r="J94" s="114">
        <f t="shared" ref="J94:M94" si="195">SUM(J95,J103,J106,J108,J110)</f>
        <v>6933.6</v>
      </c>
      <c r="K94" s="114">
        <f>SUM(K95,K103,K106,K108,K110)</f>
        <v>83973.6</v>
      </c>
      <c r="L94" s="113">
        <f>SUM(L95,L103,L106,L108,L110)</f>
        <v>21560</v>
      </c>
      <c r="M94" s="114">
        <f t="shared" si="195"/>
        <v>1940.4</v>
      </c>
      <c r="N94" s="114">
        <f>SUM(N95,N103,N106,N108,N110)</f>
        <v>23500.400000000001</v>
      </c>
      <c r="O94" s="113">
        <f>SUM(O95,O103,O106,O108,O110)</f>
        <v>139372</v>
      </c>
      <c r="P94" s="114">
        <f t="shared" ref="P94" si="196">SUM(P95,P103,P106,P108,P110)</f>
        <v>12543.48</v>
      </c>
      <c r="Q94" s="114">
        <f>SUM(Q95,Q103,Q106,Q108,Q110)</f>
        <v>151915.47999999998</v>
      </c>
      <c r="R94" s="148"/>
    </row>
    <row r="95" spans="1:20" s="120" customFormat="1" x14ac:dyDescent="0.25">
      <c r="A95" s="174" t="s">
        <v>10</v>
      </c>
      <c r="B95" s="116">
        <f>SUM(B96:B101)</f>
        <v>237972</v>
      </c>
      <c r="C95" s="116">
        <f t="shared" ref="C95:D95" si="197">SUM(C96:C101)</f>
        <v>21417.48</v>
      </c>
      <c r="D95" s="116">
        <f t="shared" si="197"/>
        <v>259389.47999999998</v>
      </c>
      <c r="E95" s="119"/>
      <c r="F95" s="78">
        <f>AVERAGE(F96:F101)</f>
        <v>0.36333333333333334</v>
      </c>
      <c r="G95" s="78">
        <f>AVERAGE(G96:G101)</f>
        <v>0.12833333333333333</v>
      </c>
      <c r="H95" s="78">
        <f>AVERAGE(H96:H101)</f>
        <v>0.5083333333333333</v>
      </c>
      <c r="I95" s="117">
        <f t="shared" ref="I95:Q95" si="198">SUM(I96:I101)</f>
        <v>77040</v>
      </c>
      <c r="J95" s="118">
        <f t="shared" si="198"/>
        <v>6933.6</v>
      </c>
      <c r="K95" s="121">
        <f t="shared" si="198"/>
        <v>83973.6</v>
      </c>
      <c r="L95" s="117">
        <f t="shared" si="198"/>
        <v>21560</v>
      </c>
      <c r="M95" s="119">
        <f t="shared" si="198"/>
        <v>1940.4</v>
      </c>
      <c r="N95" s="121">
        <f t="shared" si="198"/>
        <v>23500.400000000001</v>
      </c>
      <c r="O95" s="101">
        <f t="shared" si="198"/>
        <v>139372</v>
      </c>
      <c r="P95" s="6">
        <f t="shared" si="198"/>
        <v>12543.48</v>
      </c>
      <c r="Q95" s="121">
        <f t="shared" si="198"/>
        <v>151915.47999999998</v>
      </c>
      <c r="R95" s="149"/>
    </row>
    <row r="96" spans="1:20" s="12" customFormat="1" x14ac:dyDescent="0.25">
      <c r="A96" s="165" t="s">
        <v>109</v>
      </c>
      <c r="B96" s="18">
        <v>56972</v>
      </c>
      <c r="C96" s="28">
        <f t="shared" ref="C96:C101" si="199">B96*0.09</f>
        <v>5127.4799999999996</v>
      </c>
      <c r="D96" s="28">
        <f t="shared" ref="D96:D101" si="200">SUM(B96:C96)</f>
        <v>62099.479999999996</v>
      </c>
      <c r="E96" s="373" t="s">
        <v>149</v>
      </c>
      <c r="F96" s="79">
        <v>0</v>
      </c>
      <c r="G96" s="94">
        <v>0</v>
      </c>
      <c r="H96" s="95">
        <f>1-G96-F96</f>
        <v>1</v>
      </c>
      <c r="I96" s="82">
        <f t="shared" ref="I96:I101" si="201">F96*B96</f>
        <v>0</v>
      </c>
      <c r="J96" s="132">
        <f t="shared" ref="J96:J101" si="202">F96*C96</f>
        <v>0</v>
      </c>
      <c r="K96" s="23">
        <f t="shared" ref="K96:K101" si="203">J96+I96</f>
        <v>0</v>
      </c>
      <c r="L96" s="22">
        <f t="shared" ref="L96:L101" si="204">G96*B96</f>
        <v>0</v>
      </c>
      <c r="M96" s="24">
        <f t="shared" ref="M96:M101" si="205">G96*C96</f>
        <v>0</v>
      </c>
      <c r="N96" s="23">
        <f t="shared" ref="N96:N101" si="206">M96+L96</f>
        <v>0</v>
      </c>
      <c r="O96" s="22">
        <f t="shared" ref="O96:O101" si="207">H96*B96</f>
        <v>56972</v>
      </c>
      <c r="P96" s="24">
        <f t="shared" ref="P96:P101" si="208">H96*C96</f>
        <v>5127.4799999999996</v>
      </c>
      <c r="Q96" s="23">
        <f t="shared" ref="Q96:Q101" si="209">P96+O96</f>
        <v>62099.479999999996</v>
      </c>
      <c r="R96" s="152"/>
    </row>
    <row r="97" spans="1:20" s="12" customFormat="1" x14ac:dyDescent="0.25">
      <c r="A97" s="165" t="s">
        <v>67</v>
      </c>
      <c r="B97" s="18">
        <v>6000</v>
      </c>
      <c r="C97" s="28">
        <f t="shared" si="199"/>
        <v>540</v>
      </c>
      <c r="D97" s="28">
        <f t="shared" si="200"/>
        <v>6540</v>
      </c>
      <c r="E97" s="373" t="s">
        <v>149</v>
      </c>
      <c r="F97" s="79">
        <v>0</v>
      </c>
      <c r="G97" s="94">
        <v>0</v>
      </c>
      <c r="H97" s="95">
        <f t="shared" ref="H97:H101" si="210">1-G97-F97</f>
        <v>1</v>
      </c>
      <c r="I97" s="82">
        <f t="shared" si="201"/>
        <v>0</v>
      </c>
      <c r="J97" s="132">
        <f t="shared" si="202"/>
        <v>0</v>
      </c>
      <c r="K97" s="23">
        <f t="shared" si="203"/>
        <v>0</v>
      </c>
      <c r="L97" s="22">
        <f t="shared" si="204"/>
        <v>0</v>
      </c>
      <c r="M97" s="24">
        <f t="shared" si="205"/>
        <v>0</v>
      </c>
      <c r="N97" s="23">
        <f t="shared" si="206"/>
        <v>0</v>
      </c>
      <c r="O97" s="22">
        <f t="shared" si="207"/>
        <v>6000</v>
      </c>
      <c r="P97" s="24">
        <f t="shared" si="208"/>
        <v>540</v>
      </c>
      <c r="Q97" s="23">
        <f t="shared" si="209"/>
        <v>6540</v>
      </c>
      <c r="R97" s="152"/>
    </row>
    <row r="98" spans="1:20" s="12" customFormat="1" ht="30" x14ac:dyDescent="0.25">
      <c r="A98" s="165" t="s">
        <v>68</v>
      </c>
      <c r="B98" s="18">
        <v>36000</v>
      </c>
      <c r="C98" s="28">
        <f t="shared" si="199"/>
        <v>3240</v>
      </c>
      <c r="D98" s="28">
        <f t="shared" si="200"/>
        <v>39240</v>
      </c>
      <c r="E98" s="373" t="s">
        <v>272</v>
      </c>
      <c r="F98" s="79">
        <v>1</v>
      </c>
      <c r="G98" s="94">
        <v>0</v>
      </c>
      <c r="H98" s="95">
        <f t="shared" si="210"/>
        <v>0</v>
      </c>
      <c r="I98" s="82">
        <f t="shared" si="201"/>
        <v>36000</v>
      </c>
      <c r="J98" s="132">
        <f t="shared" si="202"/>
        <v>3240</v>
      </c>
      <c r="K98" s="23">
        <f t="shared" si="203"/>
        <v>39240</v>
      </c>
      <c r="L98" s="22">
        <f t="shared" si="204"/>
        <v>0</v>
      </c>
      <c r="M98" s="24">
        <f t="shared" si="205"/>
        <v>0</v>
      </c>
      <c r="N98" s="23">
        <f t="shared" si="206"/>
        <v>0</v>
      </c>
      <c r="O98" s="22">
        <f t="shared" si="207"/>
        <v>0</v>
      </c>
      <c r="P98" s="24">
        <f t="shared" si="208"/>
        <v>0</v>
      </c>
      <c r="Q98" s="23">
        <f t="shared" si="209"/>
        <v>0</v>
      </c>
      <c r="R98" s="152"/>
    </row>
    <row r="99" spans="1:20" s="12" customFormat="1" ht="30" x14ac:dyDescent="0.25">
      <c r="A99" s="165" t="s">
        <v>69</v>
      </c>
      <c r="B99" s="18">
        <v>36000</v>
      </c>
      <c r="C99" s="28">
        <f t="shared" si="199"/>
        <v>3240</v>
      </c>
      <c r="D99" s="28">
        <f t="shared" si="200"/>
        <v>39240</v>
      </c>
      <c r="E99" s="373" t="s">
        <v>272</v>
      </c>
      <c r="F99" s="79">
        <v>1</v>
      </c>
      <c r="G99" s="94">
        <v>0</v>
      </c>
      <c r="H99" s="95">
        <f t="shared" si="210"/>
        <v>0</v>
      </c>
      <c r="I99" s="82">
        <f t="shared" si="201"/>
        <v>36000</v>
      </c>
      <c r="J99" s="132">
        <f t="shared" si="202"/>
        <v>3240</v>
      </c>
      <c r="K99" s="23">
        <f t="shared" si="203"/>
        <v>39240</v>
      </c>
      <c r="L99" s="22">
        <f t="shared" si="204"/>
        <v>0</v>
      </c>
      <c r="M99" s="24">
        <f t="shared" si="205"/>
        <v>0</v>
      </c>
      <c r="N99" s="23">
        <f t="shared" si="206"/>
        <v>0</v>
      </c>
      <c r="O99" s="22">
        <f t="shared" si="207"/>
        <v>0</v>
      </c>
      <c r="P99" s="24">
        <f t="shared" si="208"/>
        <v>0</v>
      </c>
      <c r="Q99" s="23">
        <f t="shared" si="209"/>
        <v>0</v>
      </c>
      <c r="R99" s="152"/>
    </row>
    <row r="100" spans="1:20" s="12" customFormat="1" x14ac:dyDescent="0.25">
      <c r="A100" s="165" t="s">
        <v>70</v>
      </c>
      <c r="B100" s="18">
        <v>75000</v>
      </c>
      <c r="C100" s="28">
        <f t="shared" si="199"/>
        <v>6750</v>
      </c>
      <c r="D100" s="28">
        <f t="shared" si="200"/>
        <v>81750</v>
      </c>
      <c r="E100" s="373" t="s">
        <v>149</v>
      </c>
      <c r="F100" s="79">
        <v>0</v>
      </c>
      <c r="G100" s="94">
        <v>0</v>
      </c>
      <c r="H100" s="95">
        <f t="shared" si="210"/>
        <v>1</v>
      </c>
      <c r="I100" s="82">
        <f t="shared" si="201"/>
        <v>0</v>
      </c>
      <c r="J100" s="132">
        <f t="shared" si="202"/>
        <v>0</v>
      </c>
      <c r="K100" s="23">
        <f t="shared" si="203"/>
        <v>0</v>
      </c>
      <c r="L100" s="22">
        <f t="shared" si="204"/>
        <v>0</v>
      </c>
      <c r="M100" s="24">
        <f t="shared" si="205"/>
        <v>0</v>
      </c>
      <c r="N100" s="23">
        <f t="shared" si="206"/>
        <v>0</v>
      </c>
      <c r="O100" s="22">
        <f t="shared" si="207"/>
        <v>75000</v>
      </c>
      <c r="P100" s="24">
        <f t="shared" si="208"/>
        <v>6750</v>
      </c>
      <c r="Q100" s="23">
        <f t="shared" si="209"/>
        <v>81750</v>
      </c>
      <c r="R100" s="152"/>
    </row>
    <row r="101" spans="1:20" s="12" customFormat="1" ht="30" x14ac:dyDescent="0.25">
      <c r="A101" s="165" t="s">
        <v>71</v>
      </c>
      <c r="B101" s="18">
        <v>28000</v>
      </c>
      <c r="C101" s="28">
        <f t="shared" si="199"/>
        <v>2520</v>
      </c>
      <c r="D101" s="28">
        <f t="shared" si="200"/>
        <v>30520</v>
      </c>
      <c r="E101" s="373" t="s">
        <v>272</v>
      </c>
      <c r="F101" s="79">
        <v>0.18</v>
      </c>
      <c r="G101" s="94">
        <v>0.77</v>
      </c>
      <c r="H101" s="95">
        <f t="shared" si="210"/>
        <v>4.9999999999999989E-2</v>
      </c>
      <c r="I101" s="82">
        <f t="shared" si="201"/>
        <v>5040</v>
      </c>
      <c r="J101" s="132">
        <f t="shared" si="202"/>
        <v>453.59999999999997</v>
      </c>
      <c r="K101" s="23">
        <f t="shared" si="203"/>
        <v>5493.6</v>
      </c>
      <c r="L101" s="22">
        <f t="shared" si="204"/>
        <v>21560</v>
      </c>
      <c r="M101" s="24">
        <f t="shared" si="205"/>
        <v>1940.4</v>
      </c>
      <c r="N101" s="23">
        <f t="shared" si="206"/>
        <v>23500.400000000001</v>
      </c>
      <c r="O101" s="22">
        <f t="shared" si="207"/>
        <v>1399.9999999999998</v>
      </c>
      <c r="P101" s="24">
        <f t="shared" si="208"/>
        <v>125.99999999999997</v>
      </c>
      <c r="Q101" s="23">
        <f t="shared" si="209"/>
        <v>1525.9999999999998</v>
      </c>
      <c r="R101" s="152"/>
    </row>
    <row r="102" spans="1:20" s="12" customFormat="1" x14ac:dyDescent="0.25">
      <c r="A102" s="175"/>
      <c r="B102" s="13"/>
      <c r="C102" s="13"/>
      <c r="D102" s="13"/>
      <c r="E102" s="27"/>
      <c r="F102" s="14"/>
      <c r="G102" s="25"/>
      <c r="H102" s="25"/>
      <c r="I102" s="26"/>
      <c r="J102" s="83"/>
      <c r="K102" s="65"/>
      <c r="L102" s="26"/>
      <c r="M102" s="27"/>
      <c r="N102" s="54"/>
      <c r="O102" s="26"/>
      <c r="P102" s="27"/>
      <c r="Q102" s="65"/>
      <c r="R102" s="152"/>
    </row>
    <row r="103" spans="1:20" s="120" customFormat="1" x14ac:dyDescent="0.25">
      <c r="A103" s="174" t="s">
        <v>15</v>
      </c>
      <c r="B103" s="116">
        <f>B104</f>
        <v>0</v>
      </c>
      <c r="C103" s="116">
        <f>SUM(C104)</f>
        <v>0</v>
      </c>
      <c r="D103" s="116">
        <f>SUM(D104)</f>
        <v>0</v>
      </c>
      <c r="E103" s="119"/>
      <c r="F103" s="78">
        <f>AVERAGE(F104)</f>
        <v>0</v>
      </c>
      <c r="G103" s="78">
        <f>AVERAGE(G104)</f>
        <v>0</v>
      </c>
      <c r="H103" s="78">
        <f>AVERAGE(H104)</f>
        <v>1</v>
      </c>
      <c r="I103" s="117">
        <f>F103*B103</f>
        <v>0</v>
      </c>
      <c r="J103" s="118">
        <f>F103*C103</f>
        <v>0</v>
      </c>
      <c r="K103" s="109">
        <f t="shared" ref="K103:K104" si="211">J103+I103</f>
        <v>0</v>
      </c>
      <c r="L103" s="117">
        <f>SUM(L104)</f>
        <v>0</v>
      </c>
      <c r="M103" s="119">
        <f>SUM(M104)</f>
        <v>0</v>
      </c>
      <c r="N103" s="109">
        <f>SUM(N104)</f>
        <v>0</v>
      </c>
      <c r="O103" s="101">
        <f>SUM(O104)</f>
        <v>0</v>
      </c>
      <c r="P103" s="6">
        <f>SUM(P104)</f>
        <v>0</v>
      </c>
      <c r="Q103" s="109">
        <f t="shared" ref="Q103:Q104" si="212">P103+O103</f>
        <v>0</v>
      </c>
      <c r="R103" s="149"/>
    </row>
    <row r="104" spans="1:20" s="12" customFormat="1" x14ac:dyDescent="0.25">
      <c r="A104" s="165" t="s">
        <v>115</v>
      </c>
      <c r="B104" s="18">
        <v>0</v>
      </c>
      <c r="C104" s="28">
        <f t="shared" ref="C104" si="213">B104*0.09</f>
        <v>0</v>
      </c>
      <c r="D104" s="28">
        <f t="shared" ref="D104" si="214">SUM(B104:C104)</f>
        <v>0</v>
      </c>
      <c r="E104" s="373" t="s">
        <v>149</v>
      </c>
      <c r="F104" s="79">
        <v>0</v>
      </c>
      <c r="G104" s="94">
        <v>0</v>
      </c>
      <c r="H104" s="95">
        <f>1-G104-F104</f>
        <v>1</v>
      </c>
      <c r="I104" s="82">
        <f t="shared" ref="I104" si="215">F104*B104</f>
        <v>0</v>
      </c>
      <c r="J104" s="132">
        <f t="shared" ref="J104" si="216">F104*C104</f>
        <v>0</v>
      </c>
      <c r="K104" s="23">
        <f t="shared" si="211"/>
        <v>0</v>
      </c>
      <c r="L104" s="22">
        <f t="shared" ref="L104" si="217">G104*B104</f>
        <v>0</v>
      </c>
      <c r="M104" s="24">
        <f t="shared" ref="M104" si="218">G104*C104</f>
        <v>0</v>
      </c>
      <c r="N104" s="23">
        <f t="shared" ref="N104" si="219">M104+L104</f>
        <v>0</v>
      </c>
      <c r="O104" s="22">
        <f t="shared" ref="O104" si="220">H104*B104</f>
        <v>0</v>
      </c>
      <c r="P104" s="24">
        <f t="shared" ref="P104" si="221">H104*C104</f>
        <v>0</v>
      </c>
      <c r="Q104" s="23">
        <f t="shared" si="212"/>
        <v>0</v>
      </c>
      <c r="R104" s="152"/>
    </row>
    <row r="105" spans="1:20" s="12" customFormat="1" x14ac:dyDescent="0.25">
      <c r="A105" s="165"/>
      <c r="B105" s="18"/>
      <c r="C105" s="28"/>
      <c r="D105" s="28"/>
      <c r="E105" s="16"/>
      <c r="F105" s="14"/>
      <c r="G105" s="25"/>
      <c r="H105" s="25"/>
      <c r="I105" s="26"/>
      <c r="J105" s="83"/>
      <c r="K105" s="65"/>
      <c r="L105" s="26"/>
      <c r="M105" s="27"/>
      <c r="N105" s="54"/>
      <c r="O105" s="26"/>
      <c r="P105" s="27"/>
      <c r="Q105" s="65"/>
      <c r="R105" s="152"/>
    </row>
    <row r="106" spans="1:20" s="120" customFormat="1" x14ac:dyDescent="0.25">
      <c r="A106" s="174" t="s">
        <v>37</v>
      </c>
      <c r="B106" s="116">
        <v>0</v>
      </c>
      <c r="C106" s="116">
        <f>B106*0.09</f>
        <v>0</v>
      </c>
      <c r="D106" s="116">
        <f>SUM(B106:C106)</f>
        <v>0</v>
      </c>
      <c r="E106" s="373" t="s">
        <v>149</v>
      </c>
      <c r="F106" s="51">
        <v>0</v>
      </c>
      <c r="G106" s="52">
        <v>0</v>
      </c>
      <c r="H106" s="25">
        <f>1-G106-F106</f>
        <v>1</v>
      </c>
      <c r="I106" s="117">
        <f>F106*B106</f>
        <v>0</v>
      </c>
      <c r="J106" s="118">
        <f>F106*C106</f>
        <v>0</v>
      </c>
      <c r="K106" s="109">
        <f t="shared" ref="K106" si="222">J106+I106</f>
        <v>0</v>
      </c>
      <c r="L106" s="117">
        <f>G106*B106</f>
        <v>0</v>
      </c>
      <c r="M106" s="119">
        <f>G106*C106</f>
        <v>0</v>
      </c>
      <c r="N106" s="109">
        <f t="shared" ref="N106" si="223">M106+L106</f>
        <v>0</v>
      </c>
      <c r="O106" s="101">
        <f>B106*H106</f>
        <v>0</v>
      </c>
      <c r="P106" s="6">
        <f>C106*H106</f>
        <v>0</v>
      </c>
      <c r="Q106" s="109">
        <f t="shared" ref="Q106" si="224">P106+O106</f>
        <v>0</v>
      </c>
      <c r="R106" s="149"/>
    </row>
    <row r="107" spans="1:20" s="12" customFormat="1" x14ac:dyDescent="0.25">
      <c r="A107" s="175"/>
      <c r="B107" s="13"/>
      <c r="C107" s="13"/>
      <c r="D107" s="13"/>
      <c r="E107" s="27"/>
      <c r="F107" s="14"/>
      <c r="G107" s="25"/>
      <c r="H107" s="25"/>
      <c r="I107" s="26"/>
      <c r="J107" s="83"/>
      <c r="K107" s="65"/>
      <c r="L107" s="26"/>
      <c r="M107" s="27"/>
      <c r="N107" s="54"/>
      <c r="O107" s="26"/>
      <c r="P107" s="27"/>
      <c r="Q107" s="65"/>
      <c r="R107" s="152"/>
    </row>
    <row r="108" spans="1:20" s="99" customFormat="1" x14ac:dyDescent="0.25">
      <c r="A108" s="164" t="s">
        <v>30</v>
      </c>
      <c r="B108" s="100">
        <v>0</v>
      </c>
      <c r="C108" s="100">
        <f>B108*0.09</f>
        <v>0</v>
      </c>
      <c r="D108" s="100">
        <f>C108+B108</f>
        <v>0</v>
      </c>
      <c r="E108" s="373" t="s">
        <v>149</v>
      </c>
      <c r="F108" s="51">
        <v>0</v>
      </c>
      <c r="G108" s="52">
        <v>0</v>
      </c>
      <c r="H108" s="25">
        <f>1-G108-F108</f>
        <v>1</v>
      </c>
      <c r="I108" s="117">
        <f>F108*B108</f>
        <v>0</v>
      </c>
      <c r="J108" s="118">
        <f>F108*C108</f>
        <v>0</v>
      </c>
      <c r="K108" s="109">
        <f t="shared" ref="K108" si="225">J108+I108</f>
        <v>0</v>
      </c>
      <c r="L108" s="117">
        <f>G108*B108</f>
        <v>0</v>
      </c>
      <c r="M108" s="119">
        <f>G108*C108</f>
        <v>0</v>
      </c>
      <c r="N108" s="109">
        <f t="shared" ref="N108" si="226">M108+L108</f>
        <v>0</v>
      </c>
      <c r="O108" s="101">
        <f>B108*H108</f>
        <v>0</v>
      </c>
      <c r="P108" s="6">
        <f>C108*H108</f>
        <v>0</v>
      </c>
      <c r="Q108" s="109">
        <f t="shared" ref="Q108" si="227">P108+O108</f>
        <v>0</v>
      </c>
      <c r="R108" s="146"/>
    </row>
    <row r="109" spans="1:20" s="35" customFormat="1" x14ac:dyDescent="0.25">
      <c r="A109" s="167"/>
      <c r="B109" s="28"/>
      <c r="C109" s="28"/>
      <c r="D109" s="28"/>
      <c r="E109" s="16"/>
      <c r="F109" s="29"/>
      <c r="G109" s="30"/>
      <c r="H109" s="30"/>
      <c r="I109" s="15"/>
      <c r="J109" s="34"/>
      <c r="K109" s="32"/>
      <c r="L109" s="15"/>
      <c r="M109" s="16"/>
      <c r="N109" s="60"/>
      <c r="O109" s="15"/>
      <c r="P109" s="16"/>
      <c r="Q109" s="32"/>
      <c r="R109" s="147"/>
    </row>
    <row r="110" spans="1:20" s="99" customFormat="1" x14ac:dyDescent="0.25">
      <c r="A110" s="166" t="s">
        <v>35</v>
      </c>
      <c r="B110" s="100">
        <v>0</v>
      </c>
      <c r="C110" s="100">
        <f>B110*0.09</f>
        <v>0</v>
      </c>
      <c r="D110" s="100">
        <f>C110+B110</f>
        <v>0</v>
      </c>
      <c r="E110" s="373" t="s">
        <v>149</v>
      </c>
      <c r="F110" s="51">
        <v>0</v>
      </c>
      <c r="G110" s="52">
        <v>0</v>
      </c>
      <c r="H110" s="25">
        <f>1-G110-F110</f>
        <v>1</v>
      </c>
      <c r="I110" s="117">
        <f>F110*B110</f>
        <v>0</v>
      </c>
      <c r="J110" s="118">
        <f>F110*C110</f>
        <v>0</v>
      </c>
      <c r="K110" s="109">
        <f t="shared" ref="K110" si="228">J110+I110</f>
        <v>0</v>
      </c>
      <c r="L110" s="117">
        <f>G110*B110</f>
        <v>0</v>
      </c>
      <c r="M110" s="119">
        <f>G110*C110</f>
        <v>0</v>
      </c>
      <c r="N110" s="109">
        <f t="shared" ref="N110" si="229">M110+L110</f>
        <v>0</v>
      </c>
      <c r="O110" s="101">
        <f>B110*H110</f>
        <v>0</v>
      </c>
      <c r="P110" s="6">
        <f>C110*H110</f>
        <v>0</v>
      </c>
      <c r="Q110" s="109">
        <f t="shared" ref="Q110" si="230">P110+O110</f>
        <v>0</v>
      </c>
      <c r="R110" s="146"/>
    </row>
    <row r="111" spans="1:20" s="84" customFormat="1" x14ac:dyDescent="0.25">
      <c r="A111" s="176"/>
      <c r="B111" s="85"/>
      <c r="C111" s="85"/>
      <c r="D111" s="85"/>
      <c r="E111" s="90"/>
      <c r="F111" s="86"/>
      <c r="G111" s="87"/>
      <c r="H111" s="87"/>
      <c r="I111" s="88"/>
      <c r="J111" s="125"/>
      <c r="K111" s="73"/>
      <c r="L111" s="88"/>
      <c r="M111" s="127"/>
      <c r="N111" s="140"/>
      <c r="O111" s="88"/>
      <c r="P111" s="127"/>
      <c r="Q111" s="212"/>
      <c r="R111" s="213"/>
      <c r="S111" s="213"/>
      <c r="T111" s="213"/>
    </row>
    <row r="112" spans="1:20" s="111" customFormat="1" x14ac:dyDescent="0.25">
      <c r="A112" s="169" t="s">
        <v>72</v>
      </c>
      <c r="B112" s="112">
        <f>SUM(B113,B118,B120,B122,B124)</f>
        <v>31000</v>
      </c>
      <c r="C112" s="112">
        <f>B112*0.09</f>
        <v>2790</v>
      </c>
      <c r="D112" s="112">
        <f>SUM(B112:C112)</f>
        <v>33790</v>
      </c>
      <c r="E112" s="375"/>
      <c r="F112" s="47">
        <f>AVERAGE(F114:F116,F118,F120,F122,F124)</f>
        <v>0</v>
      </c>
      <c r="G112" s="47">
        <f t="shared" ref="G112:H112" si="231">AVERAGE(G114:G116,G118,G120,G122,G124)</f>
        <v>0</v>
      </c>
      <c r="H112" s="47">
        <f t="shared" si="231"/>
        <v>1</v>
      </c>
      <c r="I112" s="113">
        <f>SUM(I113,I118,I120,I122,I124)</f>
        <v>0</v>
      </c>
      <c r="J112" s="126">
        <f t="shared" ref="J112:Q112" si="232">SUM(J113,J118,J120,J122,J124)</f>
        <v>0</v>
      </c>
      <c r="K112" s="182">
        <f t="shared" si="232"/>
        <v>0</v>
      </c>
      <c r="L112" s="113">
        <f t="shared" si="232"/>
        <v>0</v>
      </c>
      <c r="M112" s="126">
        <f t="shared" si="232"/>
        <v>0</v>
      </c>
      <c r="N112" s="182">
        <f t="shared" si="232"/>
        <v>0</v>
      </c>
      <c r="O112" s="113">
        <f t="shared" si="232"/>
        <v>31000</v>
      </c>
      <c r="P112" s="126">
        <f t="shared" si="232"/>
        <v>2790</v>
      </c>
      <c r="Q112" s="182">
        <f t="shared" si="232"/>
        <v>33790</v>
      </c>
      <c r="R112" s="148"/>
    </row>
    <row r="113" spans="1:20" s="120" customFormat="1" x14ac:dyDescent="0.25">
      <c r="A113" s="174" t="s">
        <v>10</v>
      </c>
      <c r="B113" s="116">
        <f>SUM(B114:B116)</f>
        <v>31000</v>
      </c>
      <c r="C113" s="116">
        <f>SUM(C114:C116)</f>
        <v>2790</v>
      </c>
      <c r="D113" s="116">
        <f>SUM(D114:D116)</f>
        <v>33790</v>
      </c>
      <c r="E113" s="119"/>
      <c r="F113" s="78">
        <f>AVERAGE(F114:F116)</f>
        <v>0</v>
      </c>
      <c r="G113" s="78">
        <f>AVERAGE(G114:G116)</f>
        <v>0</v>
      </c>
      <c r="H113" s="78">
        <f>AVERAGE(H114:H116)</f>
        <v>1</v>
      </c>
      <c r="I113" s="117">
        <f t="shared" ref="I113:Q113" si="233">SUM(I114:I116)</f>
        <v>0</v>
      </c>
      <c r="J113" s="118">
        <f t="shared" si="233"/>
        <v>0</v>
      </c>
      <c r="K113" s="121">
        <f t="shared" si="233"/>
        <v>0</v>
      </c>
      <c r="L113" s="117">
        <f t="shared" si="233"/>
        <v>0</v>
      </c>
      <c r="M113" s="119">
        <f t="shared" si="233"/>
        <v>0</v>
      </c>
      <c r="N113" s="121">
        <f t="shared" si="233"/>
        <v>0</v>
      </c>
      <c r="O113" s="101">
        <f t="shared" si="233"/>
        <v>31000</v>
      </c>
      <c r="P113" s="6">
        <f t="shared" si="233"/>
        <v>2790</v>
      </c>
      <c r="Q113" s="121">
        <f t="shared" si="233"/>
        <v>33790</v>
      </c>
      <c r="R113" s="149"/>
    </row>
    <row r="114" spans="1:20" s="12" customFormat="1" x14ac:dyDescent="0.25">
      <c r="A114" s="165" t="s">
        <v>73</v>
      </c>
      <c r="B114" s="18">
        <v>12000</v>
      </c>
      <c r="C114" s="28">
        <f t="shared" ref="C114:C116" si="234">B114*0.09</f>
        <v>1080</v>
      </c>
      <c r="D114" s="28">
        <f t="shared" ref="D114:D116" si="235">SUM(B114:C114)</f>
        <v>13080</v>
      </c>
      <c r="E114" s="373" t="s">
        <v>149</v>
      </c>
      <c r="F114" s="79">
        <v>0</v>
      </c>
      <c r="G114" s="94">
        <v>0</v>
      </c>
      <c r="H114" s="95">
        <f>1-G114-F114</f>
        <v>1</v>
      </c>
      <c r="I114" s="82">
        <f t="shared" ref="I114:I116" si="236">F114*B114</f>
        <v>0</v>
      </c>
      <c r="J114" s="132">
        <f t="shared" ref="J114:J116" si="237">F114*C114</f>
        <v>0</v>
      </c>
      <c r="K114" s="23">
        <f t="shared" ref="K114:K116" si="238">J114+I114</f>
        <v>0</v>
      </c>
      <c r="L114" s="22">
        <f t="shared" ref="L114:L116" si="239">G114*B114</f>
        <v>0</v>
      </c>
      <c r="M114" s="24">
        <f t="shared" ref="M114:M116" si="240">G114*C114</f>
        <v>0</v>
      </c>
      <c r="N114" s="23">
        <f t="shared" ref="N114:N116" si="241">M114+L114</f>
        <v>0</v>
      </c>
      <c r="O114" s="22">
        <f t="shared" ref="O114:O116" si="242">H114*B114</f>
        <v>12000</v>
      </c>
      <c r="P114" s="24">
        <f t="shared" ref="P114:P116" si="243">H114*C114</f>
        <v>1080</v>
      </c>
      <c r="Q114" s="23">
        <f t="shared" ref="Q114:Q116" si="244">P114+O114</f>
        <v>13080</v>
      </c>
      <c r="R114" s="152"/>
    </row>
    <row r="115" spans="1:20" s="12" customFormat="1" x14ac:dyDescent="0.25">
      <c r="A115" s="165" t="s">
        <v>75</v>
      </c>
      <c r="B115" s="18">
        <v>9000</v>
      </c>
      <c r="C115" s="28">
        <f t="shared" si="234"/>
        <v>810</v>
      </c>
      <c r="D115" s="28">
        <f t="shared" si="235"/>
        <v>9810</v>
      </c>
      <c r="E115" s="373" t="s">
        <v>149</v>
      </c>
      <c r="F115" s="79">
        <v>0</v>
      </c>
      <c r="G115" s="94">
        <v>0</v>
      </c>
      <c r="H115" s="95">
        <f t="shared" ref="H115:H124" si="245">1-G115-F115</f>
        <v>1</v>
      </c>
      <c r="I115" s="82">
        <f t="shared" si="236"/>
        <v>0</v>
      </c>
      <c r="J115" s="132">
        <f t="shared" si="237"/>
        <v>0</v>
      </c>
      <c r="K115" s="23">
        <f t="shared" si="238"/>
        <v>0</v>
      </c>
      <c r="L115" s="22">
        <f t="shared" si="239"/>
        <v>0</v>
      </c>
      <c r="M115" s="24">
        <f t="shared" si="240"/>
        <v>0</v>
      </c>
      <c r="N115" s="23">
        <f t="shared" si="241"/>
        <v>0</v>
      </c>
      <c r="O115" s="22">
        <f t="shared" si="242"/>
        <v>9000</v>
      </c>
      <c r="P115" s="24">
        <f t="shared" si="243"/>
        <v>810</v>
      </c>
      <c r="Q115" s="23">
        <f t="shared" si="244"/>
        <v>9810</v>
      </c>
      <c r="R115" s="152"/>
    </row>
    <row r="116" spans="1:20" s="12" customFormat="1" x14ac:dyDescent="0.25">
      <c r="A116" s="165" t="s">
        <v>76</v>
      </c>
      <c r="B116" s="18">
        <v>10000</v>
      </c>
      <c r="C116" s="28">
        <f t="shared" si="234"/>
        <v>900</v>
      </c>
      <c r="D116" s="28">
        <f t="shared" si="235"/>
        <v>10900</v>
      </c>
      <c r="E116" s="373" t="s">
        <v>149</v>
      </c>
      <c r="F116" s="79">
        <v>0</v>
      </c>
      <c r="G116" s="94">
        <v>0</v>
      </c>
      <c r="H116" s="95">
        <f t="shared" si="245"/>
        <v>1</v>
      </c>
      <c r="I116" s="82">
        <f t="shared" si="236"/>
        <v>0</v>
      </c>
      <c r="J116" s="132">
        <f t="shared" si="237"/>
        <v>0</v>
      </c>
      <c r="K116" s="23">
        <f t="shared" si="238"/>
        <v>0</v>
      </c>
      <c r="L116" s="22">
        <f t="shared" si="239"/>
        <v>0</v>
      </c>
      <c r="M116" s="24">
        <f t="shared" si="240"/>
        <v>0</v>
      </c>
      <c r="N116" s="23">
        <f t="shared" si="241"/>
        <v>0</v>
      </c>
      <c r="O116" s="22">
        <f t="shared" si="242"/>
        <v>10000</v>
      </c>
      <c r="P116" s="24">
        <f t="shared" si="243"/>
        <v>900</v>
      </c>
      <c r="Q116" s="23">
        <f t="shared" si="244"/>
        <v>10900</v>
      </c>
      <c r="R116" s="152"/>
    </row>
    <row r="117" spans="1:20" s="12" customFormat="1" x14ac:dyDescent="0.25">
      <c r="A117" s="175"/>
      <c r="B117" s="13"/>
      <c r="C117" s="13"/>
      <c r="D117" s="13"/>
      <c r="E117" s="27"/>
      <c r="F117" s="14"/>
      <c r="G117" s="25"/>
      <c r="H117" s="25"/>
      <c r="I117" s="26"/>
      <c r="J117" s="83"/>
      <c r="K117" s="65"/>
      <c r="L117" s="26"/>
      <c r="M117" s="27"/>
      <c r="N117" s="54"/>
      <c r="O117" s="26"/>
      <c r="P117" s="27"/>
      <c r="Q117" s="65"/>
      <c r="R117" s="152"/>
    </row>
    <row r="118" spans="1:20" s="120" customFormat="1" x14ac:dyDescent="0.25">
      <c r="A118" s="174" t="s">
        <v>15</v>
      </c>
      <c r="B118" s="116">
        <v>0</v>
      </c>
      <c r="C118" s="116">
        <v>0</v>
      </c>
      <c r="D118" s="116">
        <f>C118+B118</f>
        <v>0</v>
      </c>
      <c r="E118" s="373" t="s">
        <v>149</v>
      </c>
      <c r="F118" s="51">
        <v>0</v>
      </c>
      <c r="G118" s="52">
        <v>0</v>
      </c>
      <c r="H118" s="25">
        <f t="shared" si="245"/>
        <v>1</v>
      </c>
      <c r="I118" s="117">
        <f>F118*B118</f>
        <v>0</v>
      </c>
      <c r="J118" s="118">
        <f>F118*C118</f>
        <v>0</v>
      </c>
      <c r="K118" s="109">
        <f t="shared" ref="K118" si="246">J118+I118</f>
        <v>0</v>
      </c>
      <c r="L118" s="117">
        <f>G118*B118</f>
        <v>0</v>
      </c>
      <c r="M118" s="119">
        <f>G118*C118</f>
        <v>0</v>
      </c>
      <c r="N118" s="109">
        <f t="shared" ref="N118" si="247">M118+L118</f>
        <v>0</v>
      </c>
      <c r="O118" s="101">
        <f>B118*H118</f>
        <v>0</v>
      </c>
      <c r="P118" s="6">
        <f>C118*H118</f>
        <v>0</v>
      </c>
      <c r="Q118" s="109">
        <f t="shared" ref="Q118" si="248">P118+O118</f>
        <v>0</v>
      </c>
      <c r="R118" s="149"/>
    </row>
    <row r="119" spans="1:20" s="12" customFormat="1" x14ac:dyDescent="0.25">
      <c r="A119" s="178"/>
      <c r="B119" s="13"/>
      <c r="C119" s="13"/>
      <c r="D119" s="13"/>
      <c r="E119" s="27"/>
      <c r="F119" s="14"/>
      <c r="G119" s="25"/>
      <c r="H119" s="25"/>
      <c r="I119" s="26"/>
      <c r="J119" s="83"/>
      <c r="K119" s="65"/>
      <c r="L119" s="26"/>
      <c r="M119" s="27"/>
      <c r="N119" s="54"/>
      <c r="O119" s="26"/>
      <c r="P119" s="27"/>
      <c r="Q119" s="65"/>
      <c r="R119" s="152"/>
    </row>
    <row r="120" spans="1:20" s="120" customFormat="1" x14ac:dyDescent="0.25">
      <c r="A120" s="174" t="s">
        <v>37</v>
      </c>
      <c r="B120" s="116">
        <v>0</v>
      </c>
      <c r="C120" s="116">
        <f>B120*0.09</f>
        <v>0</v>
      </c>
      <c r="D120" s="116">
        <f>SUM(B120:C120)</f>
        <v>0</v>
      </c>
      <c r="E120" s="373" t="s">
        <v>149</v>
      </c>
      <c r="F120" s="51">
        <v>0</v>
      </c>
      <c r="G120" s="52">
        <v>0</v>
      </c>
      <c r="H120" s="25">
        <f t="shared" si="245"/>
        <v>1</v>
      </c>
      <c r="I120" s="117">
        <f>F120*B120</f>
        <v>0</v>
      </c>
      <c r="J120" s="118">
        <f>F120*C120</f>
        <v>0</v>
      </c>
      <c r="K120" s="109">
        <f t="shared" ref="K120" si="249">J120+I120</f>
        <v>0</v>
      </c>
      <c r="L120" s="117">
        <f>G120*B120</f>
        <v>0</v>
      </c>
      <c r="M120" s="119">
        <f>G120*C120</f>
        <v>0</v>
      </c>
      <c r="N120" s="109">
        <f t="shared" ref="N120" si="250">M120+L120</f>
        <v>0</v>
      </c>
      <c r="O120" s="101">
        <f>B120*H120</f>
        <v>0</v>
      </c>
      <c r="P120" s="6">
        <f>C120*H120</f>
        <v>0</v>
      </c>
      <c r="Q120" s="109">
        <f t="shared" ref="Q120" si="251">P120+O120</f>
        <v>0</v>
      </c>
      <c r="R120" s="149"/>
    </row>
    <row r="121" spans="1:20" s="12" customFormat="1" x14ac:dyDescent="0.25">
      <c r="A121" s="175"/>
      <c r="B121" s="13"/>
      <c r="C121" s="13"/>
      <c r="D121" s="13"/>
      <c r="E121" s="27"/>
      <c r="F121" s="14"/>
      <c r="G121" s="25"/>
      <c r="H121" s="25"/>
      <c r="I121" s="26"/>
      <c r="J121" s="83"/>
      <c r="K121" s="65"/>
      <c r="L121" s="26"/>
      <c r="M121" s="27"/>
      <c r="N121" s="54"/>
      <c r="O121" s="26"/>
      <c r="P121" s="27"/>
      <c r="Q121" s="65"/>
      <c r="R121" s="152"/>
    </row>
    <row r="122" spans="1:20" s="99" customFormat="1" x14ac:dyDescent="0.25">
      <c r="A122" s="164" t="s">
        <v>30</v>
      </c>
      <c r="B122" s="100">
        <v>0</v>
      </c>
      <c r="C122" s="100">
        <f>B122*0.09</f>
        <v>0</v>
      </c>
      <c r="D122" s="100">
        <f>C122+B122</f>
        <v>0</v>
      </c>
      <c r="E122" s="373" t="s">
        <v>149</v>
      </c>
      <c r="F122" s="51">
        <v>0</v>
      </c>
      <c r="G122" s="52">
        <v>0</v>
      </c>
      <c r="H122" s="25">
        <f t="shared" si="245"/>
        <v>1</v>
      </c>
      <c r="I122" s="117">
        <f>F122*B122</f>
        <v>0</v>
      </c>
      <c r="J122" s="118">
        <f>F122*C122</f>
        <v>0</v>
      </c>
      <c r="K122" s="109">
        <f t="shared" ref="K122" si="252">J122+I122</f>
        <v>0</v>
      </c>
      <c r="L122" s="117">
        <f>G122*B122</f>
        <v>0</v>
      </c>
      <c r="M122" s="119">
        <f>G122*C122</f>
        <v>0</v>
      </c>
      <c r="N122" s="109">
        <f t="shared" ref="N122" si="253">M122+L122</f>
        <v>0</v>
      </c>
      <c r="O122" s="101">
        <f>B122*H122</f>
        <v>0</v>
      </c>
      <c r="P122" s="6">
        <f>C122*H122</f>
        <v>0</v>
      </c>
      <c r="Q122" s="109">
        <f t="shared" ref="Q122" si="254">P122+O122</f>
        <v>0</v>
      </c>
      <c r="R122" s="146"/>
    </row>
    <row r="123" spans="1:20" s="12" customFormat="1" x14ac:dyDescent="0.25">
      <c r="A123" s="178"/>
      <c r="B123" s="13"/>
      <c r="C123" s="13"/>
      <c r="D123" s="13"/>
      <c r="E123" s="27"/>
      <c r="F123" s="14"/>
      <c r="G123" s="25"/>
      <c r="H123" s="25"/>
      <c r="I123" s="26"/>
      <c r="J123" s="83"/>
      <c r="K123" s="65"/>
      <c r="L123" s="26"/>
      <c r="M123" s="27"/>
      <c r="N123" s="54"/>
      <c r="O123" s="26"/>
      <c r="P123" s="27"/>
      <c r="Q123" s="65"/>
      <c r="R123" s="152"/>
    </row>
    <row r="124" spans="1:20" s="99" customFormat="1" x14ac:dyDescent="0.25">
      <c r="A124" s="166" t="s">
        <v>35</v>
      </c>
      <c r="B124" s="100">
        <v>0</v>
      </c>
      <c r="C124" s="100">
        <f>B124*0.09</f>
        <v>0</v>
      </c>
      <c r="D124" s="100">
        <f>C124+B124</f>
        <v>0</v>
      </c>
      <c r="E124" s="373" t="s">
        <v>149</v>
      </c>
      <c r="F124" s="51">
        <v>0</v>
      </c>
      <c r="G124" s="52">
        <v>0</v>
      </c>
      <c r="H124" s="25">
        <f t="shared" si="245"/>
        <v>1</v>
      </c>
      <c r="I124" s="117">
        <f>F124*B124</f>
        <v>0</v>
      </c>
      <c r="J124" s="118">
        <f>F124*C124</f>
        <v>0</v>
      </c>
      <c r="K124" s="109">
        <f t="shared" ref="K124" si="255">J124+I124</f>
        <v>0</v>
      </c>
      <c r="L124" s="117">
        <f>G124*B124</f>
        <v>0</v>
      </c>
      <c r="M124" s="119">
        <f>G124*C124</f>
        <v>0</v>
      </c>
      <c r="N124" s="109">
        <f t="shared" ref="N124" si="256">M124+L124</f>
        <v>0</v>
      </c>
      <c r="O124" s="101">
        <f>B124*H124</f>
        <v>0</v>
      </c>
      <c r="P124" s="6">
        <f>C124*H124</f>
        <v>0</v>
      </c>
      <c r="Q124" s="109">
        <f t="shared" ref="Q124" si="257">P124+O124</f>
        <v>0</v>
      </c>
      <c r="R124" s="146"/>
    </row>
    <row r="125" spans="1:20" s="84" customFormat="1" x14ac:dyDescent="0.25">
      <c r="A125" s="176"/>
      <c r="B125" s="85"/>
      <c r="C125" s="85"/>
      <c r="D125" s="85"/>
      <c r="E125" s="90"/>
      <c r="F125" s="86"/>
      <c r="G125" s="87"/>
      <c r="H125" s="87"/>
      <c r="I125" s="88"/>
      <c r="J125" s="89"/>
      <c r="K125" s="73"/>
      <c r="L125" s="88"/>
      <c r="M125" s="90"/>
      <c r="N125" s="140"/>
      <c r="O125" s="88"/>
      <c r="P125" s="90"/>
      <c r="Q125" s="212"/>
      <c r="R125" s="213"/>
      <c r="S125" s="213"/>
      <c r="T125" s="213"/>
    </row>
    <row r="126" spans="1:20" s="111" customFormat="1" x14ac:dyDescent="0.25">
      <c r="A126" s="169" t="s">
        <v>77</v>
      </c>
      <c r="B126" s="112">
        <f>SUM(B127,B130,B132,B135,B137)</f>
        <v>140292</v>
      </c>
      <c r="C126" s="112">
        <f>B126*0.09</f>
        <v>12626.279999999999</v>
      </c>
      <c r="D126" s="112">
        <f>SUM(B126:C126)</f>
        <v>152918.28</v>
      </c>
      <c r="E126" s="375"/>
      <c r="F126" s="47">
        <f>AVERAGE(F128,F130,F133,F135,F137)</f>
        <v>0</v>
      </c>
      <c r="G126" s="47">
        <f t="shared" ref="G126:H126" si="258">AVERAGE(G128,G130,G133,G135,G137)</f>
        <v>0</v>
      </c>
      <c r="H126" s="47">
        <f t="shared" si="258"/>
        <v>1</v>
      </c>
      <c r="I126" s="113">
        <f>SUM(I127,I130,I132,I135,I137)</f>
        <v>0</v>
      </c>
      <c r="J126" s="114">
        <f>SUM(J127,J130,J132,J135,J137)</f>
        <v>0</v>
      </c>
      <c r="K126" s="114">
        <f>SUM(K127,K130,K132,K135,K137)</f>
        <v>0</v>
      </c>
      <c r="L126" s="113">
        <f t="shared" ref="L126:Q126" si="259">SUM(L127,L130,L132,L135,L137)</f>
        <v>0</v>
      </c>
      <c r="M126" s="114">
        <f t="shared" si="259"/>
        <v>0</v>
      </c>
      <c r="N126" s="114">
        <f t="shared" si="259"/>
        <v>0</v>
      </c>
      <c r="O126" s="113">
        <f t="shared" si="259"/>
        <v>140292</v>
      </c>
      <c r="P126" s="114">
        <f t="shared" si="259"/>
        <v>12626.279999999999</v>
      </c>
      <c r="Q126" s="114">
        <f t="shared" si="259"/>
        <v>152918.28</v>
      </c>
      <c r="R126" s="148"/>
    </row>
    <row r="127" spans="1:20" s="120" customFormat="1" x14ac:dyDescent="0.25">
      <c r="A127" s="174" t="s">
        <v>10</v>
      </c>
      <c r="B127" s="116">
        <f>SUM(B128:B128)</f>
        <v>101382</v>
      </c>
      <c r="C127" s="116">
        <f>SUM(C128:C128)</f>
        <v>9124.3799999999992</v>
      </c>
      <c r="D127" s="116">
        <f>SUM(D128:D128)</f>
        <v>110506.38</v>
      </c>
      <c r="E127" s="119"/>
      <c r="F127" s="78">
        <f>AVERAGE(F128)</f>
        <v>0</v>
      </c>
      <c r="G127" s="78">
        <f t="shared" ref="G127:H127" si="260">AVERAGE(G128)</f>
        <v>0</v>
      </c>
      <c r="H127" s="97">
        <f t="shared" si="260"/>
        <v>1</v>
      </c>
      <c r="I127" s="117">
        <f>SUM(I128)</f>
        <v>0</v>
      </c>
      <c r="J127" s="118">
        <f>SUM(J128)</f>
        <v>0</v>
      </c>
      <c r="K127" s="109">
        <f t="shared" ref="K127:K128" si="261">J127+I127</f>
        <v>0</v>
      </c>
      <c r="L127" s="117">
        <f>SUM(L128)</f>
        <v>0</v>
      </c>
      <c r="M127" s="119">
        <f>SUM(M128)</f>
        <v>0</v>
      </c>
      <c r="N127" s="109">
        <f t="shared" ref="N127:N128" si="262">M127+L127</f>
        <v>0</v>
      </c>
      <c r="O127" s="101">
        <f>SUM(O128)</f>
        <v>101382</v>
      </c>
      <c r="P127" s="6">
        <f>SUM(P128)</f>
        <v>9124.3799999999992</v>
      </c>
      <c r="Q127" s="109">
        <f t="shared" ref="Q127:Q128" si="263">P127+O127</f>
        <v>110506.38</v>
      </c>
      <c r="R127" s="149"/>
    </row>
    <row r="128" spans="1:20" s="12" customFormat="1" x14ac:dyDescent="0.25">
      <c r="A128" s="165" t="s">
        <v>110</v>
      </c>
      <c r="B128" s="18">
        <v>101382</v>
      </c>
      <c r="C128" s="28">
        <f t="shared" ref="C128" si="264">B128*0.09</f>
        <v>9124.3799999999992</v>
      </c>
      <c r="D128" s="28">
        <f t="shared" ref="D128" si="265">SUM(B128:C128)</f>
        <v>110506.38</v>
      </c>
      <c r="E128" s="373" t="s">
        <v>149</v>
      </c>
      <c r="F128" s="79">
        <v>0</v>
      </c>
      <c r="G128" s="94">
        <v>0</v>
      </c>
      <c r="H128" s="95">
        <f>1-G128-F128</f>
        <v>1</v>
      </c>
      <c r="I128" s="82">
        <f t="shared" ref="I128" si="266">F128*B128</f>
        <v>0</v>
      </c>
      <c r="J128" s="132">
        <f t="shared" ref="J128" si="267">F128*C128</f>
        <v>0</v>
      </c>
      <c r="K128" s="23">
        <f t="shared" si="261"/>
        <v>0</v>
      </c>
      <c r="L128" s="22">
        <f t="shared" ref="L128" si="268">G128*B128</f>
        <v>0</v>
      </c>
      <c r="M128" s="24">
        <f t="shared" ref="M128" si="269">G128*C128</f>
        <v>0</v>
      </c>
      <c r="N128" s="23">
        <f t="shared" si="262"/>
        <v>0</v>
      </c>
      <c r="O128" s="22">
        <f t="shared" ref="O128" si="270">H128*B128</f>
        <v>101382</v>
      </c>
      <c r="P128" s="24">
        <f t="shared" ref="P128" si="271">H128*C128</f>
        <v>9124.3799999999992</v>
      </c>
      <c r="Q128" s="23">
        <f t="shared" si="263"/>
        <v>110506.38</v>
      </c>
      <c r="R128" s="152"/>
    </row>
    <row r="129" spans="1:20" s="12" customFormat="1" x14ac:dyDescent="0.25">
      <c r="A129" s="175"/>
      <c r="B129" s="13"/>
      <c r="C129" s="13"/>
      <c r="D129" s="13"/>
      <c r="E129" s="27"/>
      <c r="F129" s="14"/>
      <c r="G129" s="25"/>
      <c r="H129" s="25"/>
      <c r="I129" s="26"/>
      <c r="J129" s="83"/>
      <c r="K129" s="65"/>
      <c r="L129" s="26"/>
      <c r="M129" s="27"/>
      <c r="N129" s="54"/>
      <c r="O129" s="26"/>
      <c r="P129" s="27"/>
      <c r="Q129" s="65"/>
      <c r="R129" s="152"/>
    </row>
    <row r="130" spans="1:20" s="120" customFormat="1" x14ac:dyDescent="0.25">
      <c r="A130" s="174" t="s">
        <v>15</v>
      </c>
      <c r="B130" s="116">
        <v>0</v>
      </c>
      <c r="C130" s="116">
        <v>0</v>
      </c>
      <c r="D130" s="116">
        <f>C130+B130</f>
        <v>0</v>
      </c>
      <c r="E130" s="373" t="s">
        <v>149</v>
      </c>
      <c r="F130" s="14">
        <v>0</v>
      </c>
      <c r="G130" s="25">
        <v>0</v>
      </c>
      <c r="H130" s="25">
        <f>1-G130-F130</f>
        <v>1</v>
      </c>
      <c r="I130" s="117">
        <f>F130*B130</f>
        <v>0</v>
      </c>
      <c r="J130" s="118">
        <f>F130*C130</f>
        <v>0</v>
      </c>
      <c r="K130" s="109">
        <f t="shared" ref="K130" si="272">J130+I130</f>
        <v>0</v>
      </c>
      <c r="L130" s="117">
        <f>G130*B130</f>
        <v>0</v>
      </c>
      <c r="M130" s="119">
        <f>G130*C130</f>
        <v>0</v>
      </c>
      <c r="N130" s="109">
        <f t="shared" ref="N130" si="273">M130+L130</f>
        <v>0</v>
      </c>
      <c r="O130" s="101">
        <f>B130*H130</f>
        <v>0</v>
      </c>
      <c r="P130" s="6">
        <f>C130*H130</f>
        <v>0</v>
      </c>
      <c r="Q130" s="109">
        <f t="shared" ref="Q130" si="274">P130+O130</f>
        <v>0</v>
      </c>
      <c r="R130" s="149"/>
    </row>
    <row r="131" spans="1:20" s="12" customFormat="1" x14ac:dyDescent="0.25">
      <c r="A131" s="165"/>
      <c r="B131" s="18"/>
      <c r="C131" s="28"/>
      <c r="D131" s="28"/>
      <c r="E131" s="16"/>
      <c r="F131" s="14"/>
      <c r="G131" s="25"/>
      <c r="H131" s="25"/>
      <c r="I131" s="26"/>
      <c r="J131" s="83"/>
      <c r="K131" s="65"/>
      <c r="L131" s="26"/>
      <c r="M131" s="27"/>
      <c r="N131" s="54"/>
      <c r="O131" s="26"/>
      <c r="P131" s="27"/>
      <c r="Q131" s="65"/>
      <c r="R131" s="152"/>
    </row>
    <row r="132" spans="1:20" s="120" customFormat="1" x14ac:dyDescent="0.25">
      <c r="A132" s="174" t="s">
        <v>37</v>
      </c>
      <c r="B132" s="116">
        <f>SUM(B133:B133)</f>
        <v>38910</v>
      </c>
      <c r="C132" s="116">
        <f>SUM(C133:C133)</f>
        <v>3501.9</v>
      </c>
      <c r="D132" s="116">
        <f>SUM(D133:D133)</f>
        <v>42411.9</v>
      </c>
      <c r="E132" s="119"/>
      <c r="F132" s="78">
        <f>AVERAGE(F133:F133)</f>
        <v>0</v>
      </c>
      <c r="G132" s="78">
        <f>AVERAGE(G133:G133)</f>
        <v>0</v>
      </c>
      <c r="H132" s="97">
        <f>AVERAGE(H133:H133)</f>
        <v>1</v>
      </c>
      <c r="I132" s="117">
        <f>SUM(I133:I133)</f>
        <v>0</v>
      </c>
      <c r="J132" s="118">
        <f>SUM(J133:J133)</f>
        <v>0</v>
      </c>
      <c r="K132" s="109">
        <f t="shared" ref="K132:K133" si="275">J132+I132</f>
        <v>0</v>
      </c>
      <c r="L132" s="117">
        <f>SUM(L133:L133)</f>
        <v>0</v>
      </c>
      <c r="M132" s="119">
        <f>SUM(M133:M133)</f>
        <v>0</v>
      </c>
      <c r="N132" s="109">
        <f t="shared" ref="N132:N133" si="276">M132+L132</f>
        <v>0</v>
      </c>
      <c r="O132" s="101">
        <f>SUM(O133:O133)</f>
        <v>38910</v>
      </c>
      <c r="P132" s="6">
        <f>SUM(P133:P133)</f>
        <v>3501.9</v>
      </c>
      <c r="Q132" s="109">
        <f t="shared" ref="Q132:Q133" si="277">P132+O132</f>
        <v>42411.9</v>
      </c>
      <c r="R132" s="149"/>
    </row>
    <row r="133" spans="1:20" s="12" customFormat="1" x14ac:dyDescent="0.25">
      <c r="A133" s="165" t="s">
        <v>79</v>
      </c>
      <c r="B133" s="18">
        <v>38910</v>
      </c>
      <c r="C133" s="28">
        <f t="shared" ref="C133" si="278">B133*0.09</f>
        <v>3501.9</v>
      </c>
      <c r="D133" s="28">
        <f t="shared" ref="D133" si="279">SUM(B133:C133)</f>
        <v>42411.9</v>
      </c>
      <c r="E133" s="373" t="s">
        <v>149</v>
      </c>
      <c r="F133" s="79">
        <v>0</v>
      </c>
      <c r="G133" s="94">
        <v>0</v>
      </c>
      <c r="H133" s="95">
        <f>1-G133-F133</f>
        <v>1</v>
      </c>
      <c r="I133" s="82">
        <f t="shared" ref="I133" si="280">F133*B133</f>
        <v>0</v>
      </c>
      <c r="J133" s="132">
        <f t="shared" ref="J133" si="281">F133*C133</f>
        <v>0</v>
      </c>
      <c r="K133" s="23">
        <f t="shared" si="275"/>
        <v>0</v>
      </c>
      <c r="L133" s="22">
        <f t="shared" ref="L133" si="282">G133*B133</f>
        <v>0</v>
      </c>
      <c r="M133" s="24">
        <f t="shared" ref="M133" si="283">G133*C133</f>
        <v>0</v>
      </c>
      <c r="N133" s="23">
        <f t="shared" si="276"/>
        <v>0</v>
      </c>
      <c r="O133" s="22">
        <f t="shared" ref="O133" si="284">H133*B133</f>
        <v>38910</v>
      </c>
      <c r="P133" s="24">
        <f t="shared" ref="P133" si="285">H133*C133</f>
        <v>3501.9</v>
      </c>
      <c r="Q133" s="23">
        <f t="shared" si="277"/>
        <v>42411.9</v>
      </c>
      <c r="R133" s="152"/>
    </row>
    <row r="134" spans="1:20" s="12" customFormat="1" x14ac:dyDescent="0.25">
      <c r="A134" s="175"/>
      <c r="B134" s="13"/>
      <c r="C134" s="13"/>
      <c r="D134" s="13"/>
      <c r="E134" s="27"/>
      <c r="F134" s="14"/>
      <c r="G134" s="25"/>
      <c r="H134" s="25"/>
      <c r="I134" s="26"/>
      <c r="J134" s="83"/>
      <c r="K134" s="65"/>
      <c r="L134" s="26"/>
      <c r="M134" s="27"/>
      <c r="N134" s="54"/>
      <c r="O134" s="26"/>
      <c r="P134" s="27"/>
      <c r="Q134" s="65"/>
      <c r="R134" s="152"/>
    </row>
    <row r="135" spans="1:20" s="99" customFormat="1" x14ac:dyDescent="0.25">
      <c r="A135" s="164" t="s">
        <v>30</v>
      </c>
      <c r="B135" s="100">
        <v>0</v>
      </c>
      <c r="C135" s="100">
        <f>B135*0.09</f>
        <v>0</v>
      </c>
      <c r="D135" s="100">
        <f>C135+B135</f>
        <v>0</v>
      </c>
      <c r="E135" s="373" t="s">
        <v>149</v>
      </c>
      <c r="F135" s="14">
        <v>0</v>
      </c>
      <c r="G135" s="25">
        <v>0</v>
      </c>
      <c r="H135" s="25">
        <f>1-G135-F135</f>
        <v>1</v>
      </c>
      <c r="I135" s="117">
        <f>F135*B135</f>
        <v>0</v>
      </c>
      <c r="J135" s="118">
        <f>F135*C135</f>
        <v>0</v>
      </c>
      <c r="K135" s="109">
        <f t="shared" ref="K135" si="286">J135+I135</f>
        <v>0</v>
      </c>
      <c r="L135" s="117">
        <f>G135*B135</f>
        <v>0</v>
      </c>
      <c r="M135" s="119">
        <f>G135*C135</f>
        <v>0</v>
      </c>
      <c r="N135" s="109">
        <f t="shared" ref="N135" si="287">M135+L135</f>
        <v>0</v>
      </c>
      <c r="O135" s="101">
        <f>B135*H135</f>
        <v>0</v>
      </c>
      <c r="P135" s="6">
        <f>C135*H135</f>
        <v>0</v>
      </c>
      <c r="Q135" s="109">
        <f t="shared" ref="Q135" si="288">P135+O135</f>
        <v>0</v>
      </c>
      <c r="R135" s="146"/>
    </row>
    <row r="136" spans="1:20" s="35" customFormat="1" x14ac:dyDescent="0.25">
      <c r="A136" s="167"/>
      <c r="B136" s="28"/>
      <c r="C136" s="28"/>
      <c r="D136" s="28"/>
      <c r="E136" s="16"/>
      <c r="F136" s="29"/>
      <c r="G136" s="30"/>
      <c r="H136" s="30"/>
      <c r="I136" s="15"/>
      <c r="J136" s="34"/>
      <c r="K136" s="32"/>
      <c r="L136" s="15"/>
      <c r="M136" s="16"/>
      <c r="N136" s="60"/>
      <c r="O136" s="15"/>
      <c r="P136" s="16"/>
      <c r="Q136" s="32"/>
      <c r="R136" s="147"/>
    </row>
    <row r="137" spans="1:20" s="99" customFormat="1" x14ac:dyDescent="0.25">
      <c r="A137" s="166" t="s">
        <v>35</v>
      </c>
      <c r="B137" s="100">
        <v>0</v>
      </c>
      <c r="C137" s="100">
        <f>B137*0.09</f>
        <v>0</v>
      </c>
      <c r="D137" s="100">
        <f>C137+B137</f>
        <v>0</v>
      </c>
      <c r="E137" s="373" t="s">
        <v>149</v>
      </c>
      <c r="F137" s="14">
        <v>0</v>
      </c>
      <c r="G137" s="25">
        <v>0</v>
      </c>
      <c r="H137" s="25">
        <f>1-G137-F137</f>
        <v>1</v>
      </c>
      <c r="I137" s="117">
        <f>F137*B137</f>
        <v>0</v>
      </c>
      <c r="J137" s="118">
        <f>F137*C137</f>
        <v>0</v>
      </c>
      <c r="K137" s="109">
        <f t="shared" ref="K137" si="289">J137+I137</f>
        <v>0</v>
      </c>
      <c r="L137" s="117">
        <f>G137*B137</f>
        <v>0</v>
      </c>
      <c r="M137" s="119">
        <f>G137*C137</f>
        <v>0</v>
      </c>
      <c r="N137" s="109">
        <f t="shared" ref="N137" si="290">M137+L137</f>
        <v>0</v>
      </c>
      <c r="O137" s="101">
        <f>B137*H137</f>
        <v>0</v>
      </c>
      <c r="P137" s="6">
        <f>C137*H137</f>
        <v>0</v>
      </c>
      <c r="Q137" s="109">
        <f t="shared" ref="Q137" si="291">P137+O137</f>
        <v>0</v>
      </c>
      <c r="R137" s="146"/>
    </row>
    <row r="138" spans="1:20" s="84" customFormat="1" ht="15.75" thickBot="1" x14ac:dyDescent="0.3">
      <c r="A138" s="176"/>
      <c r="B138" s="85"/>
      <c r="C138" s="85"/>
      <c r="D138" s="85"/>
      <c r="E138" s="90"/>
      <c r="F138" s="86"/>
      <c r="G138" s="87"/>
      <c r="H138" s="87"/>
      <c r="I138" s="26"/>
      <c r="J138" s="89"/>
      <c r="K138" s="98"/>
      <c r="L138" s="26"/>
      <c r="M138" s="90"/>
      <c r="N138" s="141"/>
      <c r="O138" s="26"/>
      <c r="P138" s="90"/>
      <c r="Q138" s="217"/>
      <c r="R138" s="213"/>
      <c r="S138" s="213"/>
      <c r="T138" s="213"/>
    </row>
    <row r="139" spans="1:20" s="7" customFormat="1" ht="15.75" thickBot="1" x14ac:dyDescent="0.3">
      <c r="A139" s="163" t="s">
        <v>81</v>
      </c>
      <c r="B139" s="8">
        <f>SUM(B126,B112,B94,B73,B66,B47,B33,B2)</f>
        <v>1564433</v>
      </c>
      <c r="C139" s="8">
        <f>SUM(C126,C112,C94,C73,C66,C47,C33,C2)</f>
        <v>140798.96999999997</v>
      </c>
      <c r="D139" s="8">
        <f>SUM(D126,D112,D94,D73,D66,D47,D33,D2)</f>
        <v>1705231.9700000002</v>
      </c>
      <c r="E139" s="376"/>
      <c r="F139" s="133"/>
      <c r="G139" s="134"/>
      <c r="H139" s="181">
        <f>SUM(K139,N139,Q139)</f>
        <v>1705231.9700000002</v>
      </c>
      <c r="I139" s="135">
        <f>SUM(I2,I33,I47,I66,I73,I94,I112,I126)</f>
        <v>302272.14</v>
      </c>
      <c r="J139" s="135">
        <f t="shared" ref="J139:Q139" si="292">SUM(J2,J33,J47,J66,J73,J94,J112,J126)</f>
        <v>27204.492599999998</v>
      </c>
      <c r="K139" s="136">
        <f t="shared" si="292"/>
        <v>329476.63260000001</v>
      </c>
      <c r="L139" s="135">
        <f t="shared" si="292"/>
        <v>904700.21</v>
      </c>
      <c r="M139" s="135">
        <f t="shared" si="292"/>
        <v>81423.018899999995</v>
      </c>
      <c r="N139" s="136">
        <f t="shared" si="292"/>
        <v>986123.2289000001</v>
      </c>
      <c r="O139" s="135">
        <f t="shared" si="292"/>
        <v>357460.65</v>
      </c>
      <c r="P139" s="135">
        <f t="shared" si="292"/>
        <v>32171.458500000001</v>
      </c>
      <c r="Q139" s="136">
        <f t="shared" si="292"/>
        <v>389632.10849999997</v>
      </c>
      <c r="R139" s="154"/>
    </row>
    <row r="140" spans="1:20" ht="30" x14ac:dyDescent="0.25">
      <c r="H140" s="161" t="s">
        <v>272</v>
      </c>
      <c r="I140" s="159">
        <f>SUM(I4:I8,I11,I14,I34,I36,I48,I51:I53,I56:I59,I62,I64,I75:I78,I80,I83:I88,I90,I92,I98,I99,I101)</f>
        <v>269665.14</v>
      </c>
      <c r="J140" s="159">
        <f t="shared" ref="J140:K140" si="293">SUM(J4:J8,J11,J14,J34,J36,J48,J51:J53,J56:J59,J62,J64,J75:J78,J80,J83:J88,J90,J92,J98,J99,J101)</f>
        <v>24269.8626</v>
      </c>
      <c r="K140" s="159">
        <f t="shared" si="293"/>
        <v>293935.00259999995</v>
      </c>
      <c r="L140" s="159">
        <f>SUM(L4:L8,L11,L14,L34,L36,L48,L51:L53,L56:L59,L62,L64,L75:L78,L80,L83:L88,L90,L92,L98,L99,L101)</f>
        <v>765214.71</v>
      </c>
      <c r="M140" s="159">
        <f t="shared" ref="M140:N140" si="294">SUM(M4:M8,M11,M14,M34,M36,M48,M51:M53,M56:M59,M62,M64,M75:M78,M80,M83:M88,M90,M92,M98,M99,M101)</f>
        <v>68869.323900000003</v>
      </c>
      <c r="N140" s="159">
        <f t="shared" si="294"/>
        <v>834084.03390000015</v>
      </c>
      <c r="R140" s="207"/>
    </row>
    <row r="141" spans="1:20" x14ac:dyDescent="0.25">
      <c r="H141" s="161" t="s">
        <v>148</v>
      </c>
      <c r="I141" s="159">
        <f>SUM(I15:I23,I26:I29,I31,I39:I40,I43,I45)</f>
        <v>32607</v>
      </c>
      <c r="J141" s="159">
        <f t="shared" ref="J141:K141" si="295">SUM(J15:J23,J26:J29,J31,J39:J40,J43,J45)</f>
        <v>2934.6300000000006</v>
      </c>
      <c r="K141" s="159">
        <f t="shared" si="295"/>
        <v>35541.630000000005</v>
      </c>
      <c r="L141" s="159">
        <f>SUM(L15:L23,L26:L29,L31,L39:L40,L43,L45)</f>
        <v>139485.5</v>
      </c>
      <c r="M141" s="159">
        <f t="shared" ref="M141:N141" si="296">SUM(M15:M23,M26:M29,M31,M39:M40,M43,M45)</f>
        <v>12553.695000000003</v>
      </c>
      <c r="N141" s="159">
        <f t="shared" si="296"/>
        <v>152039.19500000001</v>
      </c>
    </row>
    <row r="142" spans="1:20" x14ac:dyDescent="0.25">
      <c r="H142" s="161" t="s">
        <v>82</v>
      </c>
      <c r="I142" s="159">
        <f>SUM(I140:I141)</f>
        <v>302272.14</v>
      </c>
      <c r="J142" s="159">
        <f t="shared" ref="J142:K142" si="297">SUM(J140:J141)</f>
        <v>27204.492600000001</v>
      </c>
      <c r="K142" s="159">
        <f t="shared" si="297"/>
        <v>329476.63259999995</v>
      </c>
      <c r="L142" s="159">
        <f>SUM(L140:L141)</f>
        <v>904700.21</v>
      </c>
      <c r="M142" s="159">
        <f t="shared" ref="M142" si="298">SUM(M140:M141)</f>
        <v>81423.01890000001</v>
      </c>
      <c r="N142" s="159">
        <f t="shared" ref="N142" si="299">SUM(N140:N141)</f>
        <v>986123.22890000022</v>
      </c>
      <c r="O142" s="369">
        <f>O139/B139</f>
        <v>0.22849214379906332</v>
      </c>
      <c r="P142" s="369">
        <f>P139/C139</f>
        <v>0.22849214379906335</v>
      </c>
      <c r="Q142" s="369">
        <f>Q139/D139</f>
        <v>0.22849214379906327</v>
      </c>
      <c r="R142" s="207"/>
    </row>
    <row r="143" spans="1:20" s="29" customFormat="1" ht="30" x14ac:dyDescent="0.25">
      <c r="A143" s="179"/>
      <c r="B143" s="18"/>
      <c r="C143" s="18"/>
      <c r="D143" s="18"/>
      <c r="E143" s="373"/>
      <c r="G143" s="30"/>
      <c r="H143" s="161" t="s">
        <v>273</v>
      </c>
      <c r="I143" s="369">
        <f>I140/B139</f>
        <v>0.17237244420182904</v>
      </c>
      <c r="J143" s="369">
        <f t="shared" ref="J143:K143" si="300">J140/C139</f>
        <v>0.17237244420182907</v>
      </c>
      <c r="K143" s="369">
        <f t="shared" si="300"/>
        <v>0.17237244420182898</v>
      </c>
      <c r="L143" s="369">
        <f>L140/B139</f>
        <v>0.489132299050199</v>
      </c>
      <c r="M143" s="369">
        <f t="shared" ref="M143:N143" si="301">M140/C139</f>
        <v>0.48913229905019912</v>
      </c>
      <c r="N143" s="369">
        <f t="shared" si="301"/>
        <v>0.48913229905019906</v>
      </c>
      <c r="O143" s="159"/>
      <c r="P143" s="16"/>
      <c r="Q143" s="209"/>
      <c r="R143" s="207"/>
    </row>
    <row r="144" spans="1:20" s="29" customFormat="1" x14ac:dyDescent="0.25">
      <c r="A144" s="179"/>
      <c r="B144" s="18"/>
      <c r="C144" s="18"/>
      <c r="D144" s="18"/>
      <c r="E144" s="373"/>
      <c r="G144" s="30"/>
      <c r="H144" s="161" t="s">
        <v>151</v>
      </c>
      <c r="I144" s="369">
        <f>I141/B139</f>
        <v>2.0842695085056376E-2</v>
      </c>
      <c r="J144" s="369">
        <f t="shared" ref="J144:K144" si="302">J141/C139</f>
        <v>2.0842695085056383E-2</v>
      </c>
      <c r="K144" s="369">
        <f t="shared" si="302"/>
        <v>2.0842695085056376E-2</v>
      </c>
      <c r="L144" s="369">
        <f>L141/B139</f>
        <v>8.9160417863852273E-2</v>
      </c>
      <c r="M144" s="369">
        <f t="shared" ref="M144:N144" si="303">M141/C139</f>
        <v>8.9160417863852315E-2</v>
      </c>
      <c r="N144" s="369">
        <f t="shared" si="303"/>
        <v>8.9160417863852259E-2</v>
      </c>
      <c r="O144" s="159"/>
      <c r="P144" s="16"/>
      <c r="Q144" s="209"/>
      <c r="R144" s="207"/>
    </row>
    <row r="145" spans="1:18" s="29" customFormat="1" x14ac:dyDescent="0.25">
      <c r="A145" s="179"/>
      <c r="B145" s="18"/>
      <c r="C145" s="18"/>
      <c r="D145" s="18"/>
      <c r="E145" s="373"/>
      <c r="G145" s="30"/>
      <c r="H145" s="161"/>
      <c r="I145" s="159"/>
      <c r="J145" s="31"/>
      <c r="K145" s="209"/>
      <c r="L145" s="159"/>
      <c r="M145" s="16"/>
      <c r="N145" s="215"/>
      <c r="O145" s="238"/>
      <c r="P145" s="16"/>
      <c r="Q145" s="209"/>
      <c r="R145" s="207"/>
    </row>
    <row r="146" spans="1:18" s="29" customFormat="1" x14ac:dyDescent="0.25">
      <c r="A146" s="179"/>
      <c r="B146" s="18"/>
      <c r="C146" s="18"/>
      <c r="D146" s="18"/>
      <c r="E146" s="373"/>
      <c r="G146" s="30"/>
      <c r="H146" s="161"/>
      <c r="I146" s="159"/>
      <c r="J146" s="31"/>
      <c r="K146" s="209"/>
      <c r="L146" s="159"/>
      <c r="M146" s="16"/>
      <c r="N146" s="215"/>
      <c r="O146" s="159"/>
      <c r="P146" s="16"/>
      <c r="Q146" s="209"/>
      <c r="R146" s="207"/>
    </row>
    <row r="147" spans="1:18" x14ac:dyDescent="0.25">
      <c r="H147" s="161"/>
      <c r="I147" s="159"/>
      <c r="K147" s="209"/>
      <c r="L147" s="159"/>
      <c r="N147" s="215"/>
      <c r="O147" s="159"/>
      <c r="Q147" s="209"/>
      <c r="R147" s="207"/>
    </row>
    <row r="148" spans="1:18" s="29" customFormat="1" x14ac:dyDescent="0.25">
      <c r="A148" s="179"/>
      <c r="B148" s="18"/>
      <c r="C148" s="18"/>
      <c r="D148" s="18"/>
      <c r="E148" s="373"/>
      <c r="G148" s="30"/>
      <c r="H148" s="161"/>
      <c r="I148" s="159"/>
      <c r="J148" s="31"/>
      <c r="K148" s="209"/>
      <c r="L148" s="159"/>
      <c r="M148" s="16"/>
      <c r="N148" s="215"/>
      <c r="O148" s="159"/>
      <c r="P148" s="16"/>
      <c r="Q148" s="209"/>
      <c r="R148" s="207"/>
    </row>
    <row r="149" spans="1:18" s="29" customFormat="1" ht="33" customHeight="1" x14ac:dyDescent="0.25">
      <c r="A149" s="179"/>
      <c r="B149" s="18"/>
      <c r="C149" s="18"/>
      <c r="D149" s="18"/>
      <c r="E149" s="373"/>
      <c r="G149" s="30"/>
      <c r="H149" s="161"/>
      <c r="I149" s="159"/>
      <c r="J149" s="31"/>
      <c r="K149" s="209"/>
      <c r="L149" s="159"/>
      <c r="M149" s="16"/>
      <c r="N149" s="215"/>
      <c r="O149" s="159"/>
      <c r="P149" s="16"/>
      <c r="Q149" s="209"/>
      <c r="R149" s="207"/>
    </row>
    <row r="150" spans="1:18" s="29" customFormat="1" x14ac:dyDescent="0.25">
      <c r="A150" s="179"/>
      <c r="B150" s="18"/>
      <c r="C150" s="18"/>
      <c r="D150" s="18"/>
      <c r="E150" s="373"/>
      <c r="G150" s="30"/>
      <c r="H150" s="161"/>
      <c r="I150" s="159"/>
      <c r="J150" s="31"/>
      <c r="K150" s="209"/>
      <c r="L150" s="159"/>
      <c r="M150" s="16"/>
      <c r="N150" s="215"/>
      <c r="O150" s="159"/>
      <c r="P150" s="16"/>
      <c r="Q150" s="209"/>
      <c r="R150" s="207"/>
    </row>
    <row r="151" spans="1:18" s="29" customFormat="1" x14ac:dyDescent="0.25">
      <c r="A151" s="179"/>
      <c r="B151" s="18"/>
      <c r="C151" s="18"/>
      <c r="D151" s="18"/>
      <c r="E151" s="373"/>
      <c r="G151" s="30"/>
      <c r="H151" s="161"/>
      <c r="I151" s="159"/>
      <c r="J151" s="31"/>
      <c r="K151" s="209"/>
      <c r="L151" s="159"/>
      <c r="M151" s="16"/>
      <c r="N151" s="215"/>
      <c r="O151" s="159"/>
      <c r="P151" s="16"/>
      <c r="Q151" s="209"/>
      <c r="R151" s="207"/>
    </row>
    <row r="152" spans="1:18" s="29" customFormat="1" x14ac:dyDescent="0.25">
      <c r="A152" s="179"/>
      <c r="B152" s="18"/>
      <c r="C152" s="18"/>
      <c r="D152" s="18"/>
      <c r="E152" s="373"/>
      <c r="G152" s="30"/>
      <c r="H152" s="161"/>
      <c r="I152" s="159"/>
      <c r="J152" s="31"/>
      <c r="K152" s="209"/>
      <c r="L152" s="159"/>
      <c r="M152" s="16"/>
      <c r="N152" s="215"/>
      <c r="O152" s="159"/>
      <c r="P152" s="16"/>
      <c r="Q152" s="209"/>
      <c r="R152" s="207"/>
    </row>
    <row r="153" spans="1:18" s="29" customFormat="1" x14ac:dyDescent="0.25">
      <c r="A153" s="179"/>
      <c r="B153" s="18"/>
      <c r="C153" s="18"/>
      <c r="D153" s="18"/>
      <c r="E153" s="373"/>
      <c r="G153" s="30"/>
      <c r="H153" s="161"/>
      <c r="I153" s="159"/>
      <c r="J153" s="31"/>
      <c r="K153" s="209"/>
      <c r="L153" s="159"/>
      <c r="M153" s="16"/>
      <c r="N153" s="215"/>
      <c r="O153" s="159"/>
      <c r="P153" s="16"/>
      <c r="Q153" s="209"/>
      <c r="R153" s="207"/>
    </row>
    <row r="154" spans="1:18" s="29" customFormat="1" x14ac:dyDescent="0.25">
      <c r="A154" s="179"/>
      <c r="B154" s="18"/>
      <c r="C154" s="18"/>
      <c r="D154" s="18"/>
      <c r="E154" s="373"/>
      <c r="G154" s="30"/>
      <c r="H154" s="161"/>
      <c r="I154" s="159"/>
      <c r="J154" s="31"/>
      <c r="K154" s="209"/>
      <c r="L154" s="159"/>
      <c r="M154" s="16"/>
      <c r="N154" s="215"/>
      <c r="O154" s="159"/>
      <c r="P154" s="16"/>
      <c r="Q154" s="209"/>
      <c r="R154" s="207"/>
    </row>
    <row r="155" spans="1:18" s="29" customFormat="1" x14ac:dyDescent="0.25">
      <c r="A155" s="179"/>
      <c r="B155" s="18"/>
      <c r="C155" s="18"/>
      <c r="D155" s="18"/>
      <c r="E155" s="373"/>
      <c r="G155" s="30"/>
      <c r="H155" s="161"/>
      <c r="I155" s="159"/>
      <c r="J155" s="31"/>
      <c r="K155" s="209"/>
      <c r="L155" s="159"/>
      <c r="M155" s="16"/>
      <c r="N155" s="215"/>
      <c r="O155" s="159"/>
      <c r="P155" s="16"/>
      <c r="Q155" s="209"/>
      <c r="R155" s="207"/>
    </row>
    <row r="156" spans="1:18" s="29" customFormat="1" x14ac:dyDescent="0.25">
      <c r="A156" s="179"/>
      <c r="B156" s="18"/>
      <c r="C156" s="18"/>
      <c r="D156" s="18"/>
      <c r="E156" s="373"/>
      <c r="G156" s="30"/>
      <c r="H156" s="161"/>
      <c r="I156" s="159"/>
      <c r="J156" s="31"/>
      <c r="K156" s="209"/>
      <c r="L156" s="159"/>
      <c r="M156" s="16"/>
      <c r="N156" s="215"/>
      <c r="O156" s="159"/>
      <c r="P156" s="16"/>
      <c r="Q156" s="209"/>
      <c r="R156" s="207"/>
    </row>
    <row r="157" spans="1:18" s="29" customFormat="1" x14ac:dyDescent="0.25">
      <c r="A157" s="179"/>
      <c r="B157" s="18"/>
      <c r="C157" s="18"/>
      <c r="D157" s="18"/>
      <c r="E157" s="373"/>
      <c r="G157" s="30"/>
      <c r="H157" s="161"/>
      <c r="I157" s="159"/>
      <c r="J157" s="31"/>
      <c r="K157" s="209"/>
      <c r="L157" s="159"/>
      <c r="M157" s="16"/>
      <c r="N157" s="215"/>
      <c r="O157" s="159"/>
      <c r="P157" s="16"/>
      <c r="Q157" s="209"/>
      <c r="R157" s="207"/>
    </row>
    <row r="158" spans="1:18" s="29" customFormat="1" x14ac:dyDescent="0.25">
      <c r="A158" s="179"/>
      <c r="B158" s="18"/>
      <c r="C158" s="18"/>
      <c r="D158" s="18"/>
      <c r="E158" s="373"/>
      <c r="G158" s="30"/>
      <c r="H158" s="161"/>
      <c r="I158" s="159"/>
      <c r="J158" s="31"/>
      <c r="K158" s="209"/>
      <c r="L158" s="159"/>
      <c r="M158" s="16"/>
      <c r="N158" s="215"/>
      <c r="O158" s="159"/>
      <c r="P158" s="16"/>
      <c r="Q158" s="209"/>
      <c r="R158" s="207"/>
    </row>
    <row r="159" spans="1:18" x14ac:dyDescent="0.25">
      <c r="H159" s="161"/>
      <c r="I159" s="159"/>
      <c r="K159" s="209"/>
      <c r="L159" s="159"/>
      <c r="N159" s="215"/>
      <c r="O159" s="159"/>
      <c r="Q159" s="209"/>
      <c r="R159" s="207"/>
    </row>
    <row r="160" spans="1:18" x14ac:dyDescent="0.25">
      <c r="H160" s="161"/>
      <c r="I160" s="159"/>
      <c r="K160" s="209"/>
      <c r="L160" s="159"/>
      <c r="N160" s="215"/>
      <c r="O160" s="159"/>
      <c r="Q160" s="209"/>
      <c r="R160" s="207"/>
    </row>
    <row r="161" spans="1:18" x14ac:dyDescent="0.25">
      <c r="H161" s="31"/>
      <c r="I161" s="209"/>
      <c r="J161" s="159"/>
      <c r="K161" s="16"/>
      <c r="L161" s="159"/>
      <c r="N161" s="215"/>
      <c r="O161" s="159"/>
      <c r="Q161" s="209"/>
      <c r="R161" s="207"/>
    </row>
    <row r="162" spans="1:18" x14ac:dyDescent="0.25">
      <c r="H162" s="31"/>
      <c r="I162" s="209"/>
      <c r="J162" s="159"/>
      <c r="K162" s="16"/>
      <c r="L162" s="159"/>
      <c r="N162" s="215"/>
      <c r="O162" s="159"/>
      <c r="Q162" s="209"/>
      <c r="R162" s="207"/>
    </row>
    <row r="163" spans="1:18" x14ac:dyDescent="0.25">
      <c r="H163" s="31"/>
      <c r="I163" s="209"/>
      <c r="J163" s="159"/>
      <c r="K163" s="16"/>
      <c r="L163" s="159"/>
      <c r="N163" s="215"/>
      <c r="O163" s="159"/>
      <c r="Q163" s="209"/>
      <c r="R163" s="207"/>
    </row>
    <row r="164" spans="1:18" x14ac:dyDescent="0.25">
      <c r="H164" s="31"/>
      <c r="I164" s="209"/>
      <c r="J164" s="159"/>
      <c r="K164" s="16"/>
      <c r="L164" s="159"/>
      <c r="N164" s="215"/>
      <c r="O164" s="159"/>
      <c r="Q164" s="209"/>
      <c r="R164" s="207"/>
    </row>
    <row r="165" spans="1:18" s="31" customFormat="1" x14ac:dyDescent="0.25">
      <c r="A165" s="179"/>
      <c r="B165" s="18"/>
      <c r="C165" s="18"/>
      <c r="D165" s="18"/>
      <c r="E165" s="373"/>
      <c r="F165" s="29"/>
      <c r="G165" s="30"/>
      <c r="H165" s="15"/>
      <c r="J165" s="209"/>
      <c r="K165" s="159"/>
      <c r="L165" s="159"/>
      <c r="M165" s="16"/>
      <c r="N165" s="215"/>
      <c r="O165" s="159"/>
      <c r="P165" s="16"/>
      <c r="Q165" s="209"/>
      <c r="R165" s="207"/>
    </row>
    <row r="166" spans="1:18" s="31" customFormat="1" x14ac:dyDescent="0.25">
      <c r="A166" s="179"/>
      <c r="B166" s="18"/>
      <c r="C166" s="18"/>
      <c r="D166" s="18"/>
      <c r="E166" s="373"/>
      <c r="F166" s="29"/>
      <c r="G166" s="30"/>
      <c r="H166" s="15"/>
      <c r="J166" s="209"/>
      <c r="K166" s="159"/>
      <c r="L166" s="159"/>
      <c r="M166" s="16"/>
      <c r="N166" s="215"/>
      <c r="O166" s="159"/>
      <c r="P166" s="16"/>
      <c r="Q166" s="209"/>
      <c r="R166" s="207"/>
    </row>
    <row r="167" spans="1:18" x14ac:dyDescent="0.25">
      <c r="K167" s="209"/>
      <c r="L167" s="159"/>
      <c r="N167" s="215"/>
      <c r="O167" s="159"/>
      <c r="Q167" s="209"/>
      <c r="R167" s="207"/>
    </row>
    <row r="168" spans="1:18" x14ac:dyDescent="0.25">
      <c r="K168" s="209"/>
      <c r="L168" s="159"/>
      <c r="N168" s="215"/>
      <c r="O168" s="159"/>
      <c r="Q168" s="209"/>
      <c r="R168" s="207"/>
    </row>
    <row r="169" spans="1:18" x14ac:dyDescent="0.25">
      <c r="K169" s="209"/>
      <c r="L169" s="159"/>
      <c r="N169" s="215"/>
      <c r="O169" s="159"/>
      <c r="Q169" s="209"/>
      <c r="R169" s="207"/>
    </row>
    <row r="170" spans="1:18" x14ac:dyDescent="0.25">
      <c r="K170" s="209"/>
      <c r="L170" s="159"/>
      <c r="N170" s="215"/>
      <c r="O170" s="159"/>
      <c r="Q170" s="209"/>
      <c r="R170" s="207"/>
    </row>
    <row r="171" spans="1:18" x14ac:dyDescent="0.25">
      <c r="K171" s="209"/>
      <c r="L171" s="159"/>
      <c r="N171" s="215"/>
      <c r="O171" s="159"/>
      <c r="Q171" s="209"/>
      <c r="R171" s="207"/>
    </row>
    <row r="172" spans="1:18" x14ac:dyDescent="0.25">
      <c r="K172" s="209"/>
      <c r="L172" s="159"/>
      <c r="N172" s="215"/>
      <c r="O172" s="159"/>
      <c r="Q172" s="209"/>
      <c r="R172" s="207"/>
    </row>
    <row r="173" spans="1:18" x14ac:dyDescent="0.25">
      <c r="K173" s="209"/>
      <c r="L173" s="159"/>
      <c r="N173" s="215"/>
      <c r="O173" s="159"/>
      <c r="Q173" s="209"/>
      <c r="R173" s="207"/>
    </row>
    <row r="174" spans="1:18" x14ac:dyDescent="0.25">
      <c r="I174" s="159"/>
      <c r="K174" s="209"/>
      <c r="L174" s="159"/>
      <c r="N174" s="215"/>
      <c r="O174" s="159"/>
      <c r="Q174" s="209"/>
      <c r="R174" s="207"/>
    </row>
    <row r="175" spans="1:18" x14ac:dyDescent="0.25">
      <c r="I175" s="159"/>
      <c r="J175" s="218"/>
      <c r="K175" s="209"/>
      <c r="L175" s="159"/>
      <c r="N175" s="215"/>
      <c r="O175" s="159"/>
      <c r="Q175" s="209"/>
      <c r="R175" s="207"/>
    </row>
    <row r="176" spans="1:18" x14ac:dyDescent="0.25">
      <c r="I176" s="159"/>
      <c r="J176" s="218"/>
      <c r="K176" s="209"/>
      <c r="L176" s="159"/>
      <c r="N176" s="215"/>
      <c r="O176" s="159"/>
      <c r="Q176" s="209"/>
      <c r="R176" s="207"/>
    </row>
    <row r="177" spans="9:18" x14ac:dyDescent="0.25">
      <c r="I177" s="159"/>
      <c r="J177" s="218"/>
      <c r="K177" s="209"/>
      <c r="L177" s="159"/>
      <c r="N177" s="215"/>
      <c r="O177" s="159"/>
      <c r="Q177" s="209"/>
      <c r="R177" s="207"/>
    </row>
    <row r="178" spans="9:18" x14ac:dyDescent="0.25">
      <c r="I178" s="159"/>
      <c r="J178" s="218"/>
      <c r="K178" s="209"/>
      <c r="L178" s="159"/>
      <c r="N178" s="215"/>
      <c r="O178" s="159"/>
      <c r="Q178" s="209"/>
      <c r="R178" s="207"/>
    </row>
    <row r="179" spans="9:18" x14ac:dyDescent="0.25">
      <c r="I179" s="159"/>
      <c r="J179" s="218"/>
      <c r="K179" s="209"/>
      <c r="L179" s="159"/>
      <c r="N179" s="215"/>
      <c r="O179" s="159"/>
      <c r="Q179" s="209"/>
      <c r="R179" s="207"/>
    </row>
    <row r="180" spans="9:18" x14ac:dyDescent="0.25">
      <c r="L180" s="159"/>
      <c r="N180" s="215"/>
      <c r="O180" s="159"/>
      <c r="Q180" s="209"/>
      <c r="R180" s="207"/>
    </row>
    <row r="181" spans="9:18" x14ac:dyDescent="0.25">
      <c r="L181" s="159"/>
      <c r="N181" s="215"/>
      <c r="O181" s="159"/>
      <c r="Q181" s="209"/>
      <c r="R181" s="207"/>
    </row>
    <row r="182" spans="9:18" x14ac:dyDescent="0.25">
      <c r="L182" s="16"/>
      <c r="M182" s="215"/>
      <c r="N182" s="159"/>
      <c r="O182" s="16"/>
      <c r="P182" s="209"/>
      <c r="Q182" s="207"/>
      <c r="R182"/>
    </row>
    <row r="183" spans="9:18" x14ac:dyDescent="0.25">
      <c r="L183" s="215"/>
      <c r="M183" s="159"/>
      <c r="N183" s="16"/>
      <c r="O183" s="209"/>
      <c r="P183" s="207"/>
      <c r="Q183"/>
      <c r="R183"/>
    </row>
    <row r="184" spans="9:18" ht="63" customHeight="1" x14ac:dyDescent="0.25">
      <c r="L184" s="215"/>
      <c r="M184" s="159"/>
      <c r="N184" s="16"/>
      <c r="O184" s="209"/>
      <c r="P184" s="207"/>
      <c r="Q184"/>
      <c r="R184"/>
    </row>
    <row r="185" spans="9:18" x14ac:dyDescent="0.25">
      <c r="L185" s="215"/>
      <c r="M185" s="159"/>
      <c r="N185" s="16"/>
      <c r="O185" s="209"/>
      <c r="P185" s="207"/>
      <c r="Q185"/>
      <c r="R185"/>
    </row>
    <row r="186" spans="9:18" x14ac:dyDescent="0.25">
      <c r="L186" s="215"/>
      <c r="M186" s="159"/>
      <c r="N186" s="16"/>
      <c r="O186" s="209"/>
      <c r="P186" s="207"/>
      <c r="Q186"/>
      <c r="R186"/>
    </row>
    <row r="187" spans="9:18" x14ac:dyDescent="0.25">
      <c r="L187" s="215"/>
      <c r="M187" s="159"/>
      <c r="N187" s="16"/>
      <c r="O187" s="209"/>
      <c r="P187" s="207"/>
      <c r="Q187"/>
      <c r="R187"/>
    </row>
    <row r="188" spans="9:18" x14ac:dyDescent="0.25">
      <c r="L188" s="215"/>
      <c r="M188" s="159"/>
      <c r="N188" s="16"/>
      <c r="O188" s="209"/>
      <c r="P188" s="207"/>
      <c r="Q188"/>
      <c r="R188"/>
    </row>
    <row r="189" spans="9:18" x14ac:dyDescent="0.25">
      <c r="L189" s="215"/>
      <c r="M189" s="159"/>
      <c r="N189" s="16"/>
      <c r="O189" s="209"/>
      <c r="P189" s="207"/>
      <c r="Q189"/>
      <c r="R189"/>
    </row>
    <row r="190" spans="9:18" x14ac:dyDescent="0.25">
      <c r="L190" s="215"/>
      <c r="M190" s="159"/>
      <c r="N190" s="16"/>
      <c r="O190" s="209"/>
      <c r="P190" s="207"/>
      <c r="Q190"/>
      <c r="R190"/>
    </row>
    <row r="191" spans="9:18" x14ac:dyDescent="0.25">
      <c r="L191" s="215"/>
      <c r="M191" s="159"/>
      <c r="N191" s="16"/>
      <c r="O191" s="209"/>
      <c r="P191" s="207"/>
      <c r="Q191"/>
      <c r="R191"/>
    </row>
    <row r="192" spans="9:18" x14ac:dyDescent="0.25">
      <c r="L192" s="215"/>
      <c r="M192" s="159"/>
      <c r="N192" s="16"/>
      <c r="O192" s="209"/>
      <c r="P192" s="207"/>
      <c r="Q192"/>
      <c r="R192"/>
    </row>
    <row r="193" spans="12:18" x14ac:dyDescent="0.25">
      <c r="L193" s="215"/>
      <c r="M193" s="159"/>
      <c r="N193" s="16"/>
      <c r="O193" s="209"/>
      <c r="P193" s="207"/>
      <c r="Q193"/>
      <c r="R193"/>
    </row>
    <row r="194" spans="12:18" x14ac:dyDescent="0.25">
      <c r="L194" s="215"/>
      <c r="M194" s="159"/>
      <c r="N194" s="16"/>
      <c r="O194" s="209"/>
      <c r="P194" s="207"/>
      <c r="Q194"/>
      <c r="R194"/>
    </row>
    <row r="195" spans="12:18" x14ac:dyDescent="0.25">
      <c r="L195" s="215"/>
      <c r="M195" s="159"/>
      <c r="N195" s="16"/>
      <c r="O195" s="209"/>
      <c r="P195" s="207"/>
      <c r="Q195"/>
      <c r="R195"/>
    </row>
    <row r="196" spans="12:18" x14ac:dyDescent="0.25">
      <c r="L196" s="215"/>
      <c r="M196" s="159"/>
      <c r="N196" s="16"/>
      <c r="O196" s="209"/>
      <c r="P196" s="207"/>
      <c r="Q196"/>
      <c r="R196"/>
    </row>
    <row r="197" spans="12:18" x14ac:dyDescent="0.25">
      <c r="L197" s="215"/>
      <c r="M197" s="159"/>
      <c r="N197" s="16"/>
      <c r="O197" s="209"/>
      <c r="P197" s="207"/>
      <c r="Q197"/>
      <c r="R197"/>
    </row>
    <row r="198" spans="12:18" x14ac:dyDescent="0.25">
      <c r="L198" s="215"/>
      <c r="M198" s="159"/>
      <c r="N198" s="16"/>
      <c r="O198" s="209"/>
      <c r="P198" s="207"/>
      <c r="Q198"/>
      <c r="R198"/>
    </row>
    <row r="199" spans="12:18" x14ac:dyDescent="0.25">
      <c r="L199" s="215"/>
      <c r="M199" s="159"/>
      <c r="N199" s="16"/>
      <c r="O199" s="209"/>
      <c r="P199" s="207"/>
      <c r="Q199"/>
      <c r="R199"/>
    </row>
    <row r="200" spans="12:18" x14ac:dyDescent="0.25">
      <c r="L200" s="16"/>
      <c r="M200" s="215"/>
      <c r="N200" s="159"/>
      <c r="O200" s="16"/>
      <c r="P200" s="209"/>
      <c r="Q200" s="207"/>
      <c r="R200"/>
    </row>
    <row r="201" spans="12:18" x14ac:dyDescent="0.25">
      <c r="L201" s="16"/>
      <c r="M201" s="215"/>
      <c r="N201" s="159"/>
      <c r="O201" s="16"/>
      <c r="P201" s="209"/>
      <c r="Q201" s="207"/>
      <c r="R201"/>
    </row>
    <row r="202" spans="12:18" x14ac:dyDescent="0.25">
      <c r="L202" s="159"/>
      <c r="N202" s="215"/>
      <c r="O202" s="159"/>
      <c r="Q202" s="209"/>
      <c r="R202" s="207"/>
    </row>
    <row r="203" spans="12:18" x14ac:dyDescent="0.25">
      <c r="L203" s="159"/>
      <c r="N203" s="215"/>
      <c r="O203" s="159"/>
      <c r="Q203" s="209"/>
      <c r="R203" s="207"/>
    </row>
    <row r="204" spans="12:18" x14ac:dyDescent="0.25">
      <c r="L204" s="159"/>
      <c r="N204" s="215"/>
      <c r="O204" s="159"/>
      <c r="Q204" s="209"/>
      <c r="R204" s="207"/>
    </row>
    <row r="205" spans="12:18" x14ac:dyDescent="0.25">
      <c r="L205" s="159"/>
      <c r="N205" s="215"/>
      <c r="O205" s="159"/>
      <c r="Q205" s="209"/>
      <c r="R205" s="207"/>
    </row>
    <row r="206" spans="12:18" x14ac:dyDescent="0.25">
      <c r="L206" s="159"/>
      <c r="N206" s="215"/>
      <c r="O206" s="159"/>
      <c r="Q206" s="209"/>
      <c r="R206" s="207"/>
    </row>
    <row r="207" spans="12:18" x14ac:dyDescent="0.25">
      <c r="L207" s="159"/>
      <c r="N207" s="215"/>
      <c r="O207" s="159"/>
      <c r="Q207" s="209"/>
      <c r="R207" s="207"/>
    </row>
    <row r="208" spans="12:18" x14ac:dyDescent="0.25">
      <c r="L208" s="159"/>
      <c r="N208" s="215"/>
      <c r="O208" s="159"/>
      <c r="Q208" s="209"/>
      <c r="R208" s="207"/>
    </row>
    <row r="209" spans="12:20" x14ac:dyDescent="0.25">
      <c r="L209" s="159"/>
      <c r="N209" s="215"/>
      <c r="O209" s="159"/>
      <c r="Q209" s="209"/>
      <c r="R209" s="207"/>
    </row>
    <row r="210" spans="12:20" x14ac:dyDescent="0.25">
      <c r="L210" s="159"/>
      <c r="M210" s="219"/>
      <c r="N210" s="215"/>
      <c r="O210" s="159"/>
      <c r="P210" s="219"/>
      <c r="Q210" s="209"/>
      <c r="R210" s="207"/>
      <c r="S210" s="207"/>
      <c r="T210" s="207"/>
    </row>
    <row r="211" spans="12:20" x14ac:dyDescent="0.25">
      <c r="L211" s="159"/>
      <c r="M211" s="219"/>
      <c r="N211" s="215"/>
      <c r="O211" s="159"/>
      <c r="P211" s="219"/>
      <c r="Q211" s="209"/>
      <c r="R211" s="207"/>
      <c r="S211" s="207"/>
      <c r="T211" s="207"/>
    </row>
    <row r="212" spans="12:20" x14ac:dyDescent="0.25">
      <c r="L212" s="159"/>
      <c r="M212" s="219"/>
      <c r="N212" s="215"/>
      <c r="O212" s="159"/>
      <c r="P212" s="219"/>
      <c r="Q212" s="209"/>
      <c r="R212" s="207"/>
      <c r="S212" s="207"/>
      <c r="T212" s="207"/>
    </row>
    <row r="213" spans="12:20" x14ac:dyDescent="0.25">
      <c r="L213" s="159"/>
      <c r="M213" s="219"/>
      <c r="N213" s="215"/>
      <c r="O213" s="159"/>
      <c r="P213" s="219"/>
      <c r="Q213" s="209"/>
      <c r="R213" s="207"/>
      <c r="S213" s="207"/>
      <c r="T213" s="207"/>
    </row>
    <row r="214" spans="12:20" x14ac:dyDescent="0.25">
      <c r="L214" s="159"/>
      <c r="M214" s="219"/>
      <c r="N214" s="215"/>
      <c r="O214" s="159"/>
      <c r="P214" s="219"/>
      <c r="Q214" s="209"/>
      <c r="R214" s="207"/>
      <c r="S214" s="207"/>
      <c r="T214" s="207"/>
    </row>
  </sheetData>
  <sheetProtection password="D297" sheet="1" objects="1" scenarios="1"/>
  <pageMargins left="0.25" right="0.25" top="0.5" bottom="0.5" header="0.3" footer="0.3"/>
  <pageSetup paperSize="5" scale="68" fitToHeight="0" orientation="landscape" r:id="rId1"/>
  <rowBreaks count="2" manualBreakCount="2">
    <brk id="46" max="16383" man="1"/>
    <brk id="9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S147"/>
  <sheetViews>
    <sheetView topLeftCell="A31" zoomScaleNormal="100" workbookViewId="0">
      <selection activeCell="J54" sqref="J54"/>
    </sheetView>
  </sheetViews>
  <sheetFormatPr defaultRowHeight="15" x14ac:dyDescent="0.25"/>
  <cols>
    <col min="1" max="1" width="40.28515625" customWidth="1"/>
    <col min="2" max="2" width="12.5703125" style="18" bestFit="1" customWidth="1"/>
    <col min="3" max="3" width="12.5703125" style="18" customWidth="1"/>
    <col min="4" max="4" width="14.85546875" style="18" customWidth="1"/>
    <col min="5" max="5" width="10.5703125" style="373" bestFit="1" customWidth="1"/>
    <col min="6" max="6" width="10.42578125" style="29" customWidth="1"/>
    <col min="7" max="7" width="11.85546875" style="30" customWidth="1"/>
    <col min="8" max="8" width="13" style="30" customWidth="1"/>
    <col min="9" max="9" width="9.85546875" style="15" customWidth="1"/>
    <col min="10" max="10" width="10.85546875" style="31" bestFit="1" customWidth="1"/>
    <col min="11" max="11" width="11.85546875" style="32" bestFit="1" customWidth="1"/>
    <col min="12" max="12" width="11" style="15" bestFit="1" customWidth="1"/>
    <col min="13" max="13" width="10.85546875" style="16" bestFit="1" customWidth="1"/>
    <col min="14" max="14" width="11.85546875" style="60" customWidth="1"/>
    <col min="15" max="15" width="12.85546875" style="15" customWidth="1"/>
    <col min="16" max="16" width="12.85546875" style="16" customWidth="1"/>
    <col min="17" max="17" width="13.5703125" style="32" customWidth="1"/>
    <col min="18" max="18" width="20" style="145" bestFit="1" customWidth="1"/>
  </cols>
  <sheetData>
    <row r="1" spans="1:18" s="156" customFormat="1" ht="90" x14ac:dyDescent="0.25">
      <c r="A1" s="162" t="s">
        <v>245</v>
      </c>
      <c r="B1" s="6" t="s">
        <v>86</v>
      </c>
      <c r="C1" s="155" t="s">
        <v>0</v>
      </c>
      <c r="D1" s="155" t="s">
        <v>1</v>
      </c>
      <c r="E1" s="6" t="s">
        <v>271</v>
      </c>
      <c r="F1" s="2" t="s">
        <v>2</v>
      </c>
      <c r="G1" s="2" t="s">
        <v>3</v>
      </c>
      <c r="H1" s="2" t="s">
        <v>187</v>
      </c>
      <c r="I1" s="3" t="s">
        <v>4</v>
      </c>
      <c r="J1" s="4" t="s">
        <v>5</v>
      </c>
      <c r="K1" s="5" t="s">
        <v>6</v>
      </c>
      <c r="L1" s="3" t="s">
        <v>83</v>
      </c>
      <c r="M1" s="6" t="s">
        <v>7</v>
      </c>
      <c r="N1" s="138" t="s">
        <v>8</v>
      </c>
      <c r="O1" s="3" t="s">
        <v>246</v>
      </c>
      <c r="P1" s="6" t="s">
        <v>247</v>
      </c>
      <c r="Q1" s="5" t="s">
        <v>248</v>
      </c>
      <c r="R1" s="157"/>
    </row>
    <row r="2" spans="1:18" s="11" customFormat="1" x14ac:dyDescent="0.25">
      <c r="A2" s="11" t="s">
        <v>9</v>
      </c>
      <c r="B2" s="103">
        <f>B3+B10+B13+B27+B33</f>
        <v>740733</v>
      </c>
      <c r="C2" s="103">
        <f>B2*0.09</f>
        <v>66665.97</v>
      </c>
      <c r="D2" s="103">
        <f>B2+C2</f>
        <v>807398.97</v>
      </c>
      <c r="E2" s="372"/>
      <c r="F2" s="9">
        <f>AVERAGE(F4:F7)</f>
        <v>0.18</v>
      </c>
      <c r="G2" s="9">
        <f>AVERAGE(G4:G7)</f>
        <v>0.77</v>
      </c>
      <c r="H2" s="9">
        <f t="shared" ref="H2" si="0">AVERAGE(H4:H7,H11,H14:H25,H28:H31)</f>
        <v>0.18333333333333332</v>
      </c>
      <c r="I2" s="104">
        <f>SUM(I3,I10,I13,I27,I33)</f>
        <v>116565.3</v>
      </c>
      <c r="J2" s="105">
        <f t="shared" ref="J2:M2" si="1">SUM(J3,J10,J13,J27,J33)</f>
        <v>10490.877</v>
      </c>
      <c r="K2" s="105">
        <f>J2+I2</f>
        <v>127056.177</v>
      </c>
      <c r="L2" s="104">
        <f>SUM(L3,L10,L13,L27,L33)</f>
        <v>513788.44999999995</v>
      </c>
      <c r="M2" s="105">
        <f t="shared" si="1"/>
        <v>46240.960500000001</v>
      </c>
      <c r="N2" s="105">
        <f>M2+L2</f>
        <v>560029.4105</v>
      </c>
      <c r="O2" s="104">
        <f>SUM(O3,O10,O13,O27,O33)</f>
        <v>110379.25</v>
      </c>
      <c r="P2" s="105">
        <f t="shared" ref="P2" si="2">SUM(P3,P10,P13,P27,P33)</f>
        <v>9934.1324999999997</v>
      </c>
      <c r="Q2" s="105">
        <f>P2+O2</f>
        <v>120313.38250000001</v>
      </c>
      <c r="R2" s="144"/>
    </row>
    <row r="3" spans="1:18" s="1" customFormat="1" x14ac:dyDescent="0.25">
      <c r="A3" s="99" t="s">
        <v>10</v>
      </c>
      <c r="B3" s="100">
        <v>502631</v>
      </c>
      <c r="C3" s="100">
        <f>B3*0.09</f>
        <v>45236.79</v>
      </c>
      <c r="D3" s="100">
        <f>B3+C3</f>
        <v>547867.79</v>
      </c>
      <c r="E3" s="110"/>
      <c r="F3" s="14">
        <f>AVERAGE(F4:F7)</f>
        <v>0.18</v>
      </c>
      <c r="G3" s="14">
        <f>AVERAGE(G4:G7)</f>
        <v>0.77</v>
      </c>
      <c r="H3" s="14">
        <f>1-G3-F3</f>
        <v>4.9999999999999989E-2</v>
      </c>
      <c r="I3" s="101">
        <f>F3*B3</f>
        <v>90473.58</v>
      </c>
      <c r="J3" s="123">
        <f>F3*C3</f>
        <v>8142.6221999999998</v>
      </c>
      <c r="K3" s="123">
        <f>SUM(I3:J3)</f>
        <v>98616.2022</v>
      </c>
      <c r="L3" s="101">
        <f>G3*B3</f>
        <v>387025.87</v>
      </c>
      <c r="M3" s="6">
        <f>G3*C3</f>
        <v>34832.328300000001</v>
      </c>
      <c r="N3" s="138">
        <f>SUM(L3:M3)</f>
        <v>421858.19829999999</v>
      </c>
      <c r="O3" s="101">
        <f>H3*B3</f>
        <v>25131.549999999996</v>
      </c>
      <c r="P3" s="6">
        <f>H3*C3</f>
        <v>2261.8394999999996</v>
      </c>
      <c r="Q3" s="102">
        <f>P3+O3</f>
        <v>27393.389499999994</v>
      </c>
      <c r="R3" s="143"/>
    </row>
    <row r="4" spans="1:18" ht="30" x14ac:dyDescent="0.25">
      <c r="A4" s="17" t="s">
        <v>11</v>
      </c>
      <c r="B4" s="18">
        <v>0</v>
      </c>
      <c r="C4" s="13">
        <f t="shared" ref="C4:C11" si="3">B4*0.09</f>
        <v>0</v>
      </c>
      <c r="D4" s="13">
        <f t="shared" ref="D4:D11" si="4">B4+C4</f>
        <v>0</v>
      </c>
      <c r="E4" s="27" t="s">
        <v>272</v>
      </c>
      <c r="F4" s="19">
        <v>0.18</v>
      </c>
      <c r="G4" s="20">
        <v>0.77</v>
      </c>
      <c r="H4" s="21">
        <f>1-F4-G4</f>
        <v>5.0000000000000044E-2</v>
      </c>
      <c r="I4" s="22">
        <f>F4*B4</f>
        <v>0</v>
      </c>
      <c r="J4" s="130">
        <f>F4*C4</f>
        <v>0</v>
      </c>
      <c r="K4" s="131">
        <f t="shared" ref="K4:K7" si="5">J4+I4</f>
        <v>0</v>
      </c>
      <c r="L4" s="22">
        <f>G4*B4</f>
        <v>0</v>
      </c>
      <c r="M4" s="24">
        <f>G4*C4</f>
        <v>0</v>
      </c>
      <c r="N4" s="23">
        <f>M4+L4</f>
        <v>0</v>
      </c>
      <c r="O4" s="128">
        <f>H4*B4</f>
        <v>0</v>
      </c>
      <c r="P4" s="129">
        <f>H4*C4</f>
        <v>0</v>
      </c>
      <c r="Q4" s="23">
        <f>P4+O4</f>
        <v>0</v>
      </c>
    </row>
    <row r="5" spans="1:18" ht="30" x14ac:dyDescent="0.25">
      <c r="A5" s="17" t="s">
        <v>12</v>
      </c>
      <c r="B5" s="18">
        <v>0</v>
      </c>
      <c r="C5" s="13">
        <f t="shared" si="3"/>
        <v>0</v>
      </c>
      <c r="D5" s="13">
        <f t="shared" si="4"/>
        <v>0</v>
      </c>
      <c r="E5" s="27" t="s">
        <v>272</v>
      </c>
      <c r="F5" s="19">
        <v>0.18</v>
      </c>
      <c r="G5" s="20">
        <v>0.77</v>
      </c>
      <c r="H5" s="21">
        <f t="shared" ref="H5:H7" si="6">1-F5-G5</f>
        <v>5.0000000000000044E-2</v>
      </c>
      <c r="I5" s="22">
        <f>F5*B5</f>
        <v>0</v>
      </c>
      <c r="J5" s="130">
        <f>F5*C5</f>
        <v>0</v>
      </c>
      <c r="K5" s="131">
        <f t="shared" si="5"/>
        <v>0</v>
      </c>
      <c r="L5" s="22">
        <f>G5*B5</f>
        <v>0</v>
      </c>
      <c r="M5" s="24">
        <f>G5*C5</f>
        <v>0</v>
      </c>
      <c r="N5" s="23">
        <f t="shared" ref="N5:N7" si="7">M5+L5</f>
        <v>0</v>
      </c>
      <c r="O5" s="128">
        <f>H5*B5</f>
        <v>0</v>
      </c>
      <c r="P5" s="129">
        <f>H5*C5</f>
        <v>0</v>
      </c>
      <c r="Q5" s="23">
        <f t="shared" ref="Q5:Q7" si="8">P5+O5</f>
        <v>0</v>
      </c>
    </row>
    <row r="6" spans="1:18" ht="30" x14ac:dyDescent="0.25">
      <c r="A6" s="17" t="s">
        <v>13</v>
      </c>
      <c r="B6" s="18">
        <v>0</v>
      </c>
      <c r="C6" s="13">
        <f t="shared" si="3"/>
        <v>0</v>
      </c>
      <c r="D6" s="13">
        <f t="shared" si="4"/>
        <v>0</v>
      </c>
      <c r="E6" s="27" t="s">
        <v>272</v>
      </c>
      <c r="F6" s="19">
        <v>0.18</v>
      </c>
      <c r="G6" s="20">
        <v>0.77</v>
      </c>
      <c r="H6" s="21">
        <f t="shared" si="6"/>
        <v>5.0000000000000044E-2</v>
      </c>
      <c r="I6" s="22">
        <f>F6*B6</f>
        <v>0</v>
      </c>
      <c r="J6" s="130">
        <f>F6*C6</f>
        <v>0</v>
      </c>
      <c r="K6" s="131">
        <f t="shared" si="5"/>
        <v>0</v>
      </c>
      <c r="L6" s="22">
        <f>G6*B6</f>
        <v>0</v>
      </c>
      <c r="M6" s="24">
        <f>G6*C6</f>
        <v>0</v>
      </c>
      <c r="N6" s="23">
        <f t="shared" si="7"/>
        <v>0</v>
      </c>
      <c r="O6" s="128">
        <f>H6*B6</f>
        <v>0</v>
      </c>
      <c r="P6" s="129">
        <f>H6*C6</f>
        <v>0</v>
      </c>
      <c r="Q6" s="23">
        <f t="shared" si="8"/>
        <v>0</v>
      </c>
    </row>
    <row r="7" spans="1:18" ht="30" x14ac:dyDescent="0.25">
      <c r="A7" s="17" t="s">
        <v>14</v>
      </c>
      <c r="B7" s="18">
        <v>0</v>
      </c>
      <c r="C7" s="13">
        <f t="shared" si="3"/>
        <v>0</v>
      </c>
      <c r="D7" s="13">
        <f t="shared" si="4"/>
        <v>0</v>
      </c>
      <c r="E7" s="27" t="s">
        <v>272</v>
      </c>
      <c r="F7" s="19">
        <v>0.18</v>
      </c>
      <c r="G7" s="20">
        <v>0.77</v>
      </c>
      <c r="H7" s="21">
        <f t="shared" si="6"/>
        <v>5.0000000000000044E-2</v>
      </c>
      <c r="I7" s="22">
        <f>F7*B7</f>
        <v>0</v>
      </c>
      <c r="J7" s="130">
        <f>F7*C7</f>
        <v>0</v>
      </c>
      <c r="K7" s="131">
        <f t="shared" si="5"/>
        <v>0</v>
      </c>
      <c r="L7" s="22">
        <f>G7*B7</f>
        <v>0</v>
      </c>
      <c r="M7" s="24">
        <f>G7*C7</f>
        <v>0</v>
      </c>
      <c r="N7" s="23">
        <f t="shared" si="7"/>
        <v>0</v>
      </c>
      <c r="O7" s="128">
        <f>H7*B7</f>
        <v>0</v>
      </c>
      <c r="P7" s="129">
        <f>H7*C7</f>
        <v>0</v>
      </c>
      <c r="Q7" s="23">
        <f t="shared" si="8"/>
        <v>0</v>
      </c>
    </row>
    <row r="10" spans="1:18" s="99" customFormat="1" x14ac:dyDescent="0.25">
      <c r="A10" s="106" t="s">
        <v>15</v>
      </c>
      <c r="B10" s="100">
        <f>B11</f>
        <v>3453</v>
      </c>
      <c r="C10" s="100">
        <f t="shared" si="3"/>
        <v>310.77</v>
      </c>
      <c r="D10" s="100">
        <f t="shared" si="4"/>
        <v>3763.77</v>
      </c>
      <c r="E10" s="110"/>
      <c r="F10" s="14">
        <f>F11</f>
        <v>0.18</v>
      </c>
      <c r="G10" s="25">
        <f>G11</f>
        <v>0.77</v>
      </c>
      <c r="H10" s="14">
        <f>1-G10-F10</f>
        <v>4.9999999999999989E-2</v>
      </c>
      <c r="I10" s="107">
        <f>F10*B10</f>
        <v>621.54</v>
      </c>
      <c r="J10" s="108">
        <f>F10*C10</f>
        <v>55.938599999999994</v>
      </c>
      <c r="K10" s="109">
        <f>J10+I10</f>
        <v>677.47859999999991</v>
      </c>
      <c r="L10" s="107">
        <f>SUM(L11)</f>
        <v>2658.81</v>
      </c>
      <c r="M10" s="110">
        <f>SUM(M11)</f>
        <v>239.2929</v>
      </c>
      <c r="N10" s="109">
        <f>M10+L10</f>
        <v>2898.1028999999999</v>
      </c>
      <c r="O10" s="101">
        <f>SUM(O11)</f>
        <v>172.65000000000015</v>
      </c>
      <c r="P10" s="6">
        <f>SUM(P11)</f>
        <v>15.538500000000013</v>
      </c>
      <c r="Q10" s="109">
        <f>P10+O10</f>
        <v>188.18850000000015</v>
      </c>
      <c r="R10" s="146"/>
    </row>
    <row r="11" spans="1:18" ht="30" x14ac:dyDescent="0.25">
      <c r="A11" s="17" t="s">
        <v>16</v>
      </c>
      <c r="B11" s="18">
        <v>3453</v>
      </c>
      <c r="C11" s="13">
        <f t="shared" si="3"/>
        <v>310.77</v>
      </c>
      <c r="D11" s="13">
        <f t="shared" si="4"/>
        <v>3763.77</v>
      </c>
      <c r="E11" s="27" t="s">
        <v>272</v>
      </c>
      <c r="F11" s="19">
        <v>0.18</v>
      </c>
      <c r="G11" s="20">
        <v>0.77</v>
      </c>
      <c r="H11" s="21">
        <f>1-F11-G11</f>
        <v>5.0000000000000044E-2</v>
      </c>
      <c r="I11" s="22">
        <f>F11*B11</f>
        <v>621.54</v>
      </c>
      <c r="J11" s="130">
        <f>F11*C11</f>
        <v>55.938599999999994</v>
      </c>
      <c r="K11" s="131">
        <f t="shared" ref="K11" si="9">J11+I11</f>
        <v>677.47859999999991</v>
      </c>
      <c r="L11" s="22">
        <f>G11*B11</f>
        <v>2658.81</v>
      </c>
      <c r="M11" s="24">
        <f>G11*C11</f>
        <v>239.2929</v>
      </c>
      <c r="N11" s="23">
        <f>M11+L11</f>
        <v>2898.1028999999999</v>
      </c>
      <c r="O11" s="22">
        <f>H11*B11</f>
        <v>172.65000000000015</v>
      </c>
      <c r="P11" s="24">
        <f>H11*C11</f>
        <v>15.538500000000013</v>
      </c>
      <c r="Q11" s="23">
        <f>P11+O11</f>
        <v>188.18850000000015</v>
      </c>
    </row>
    <row r="13" spans="1:18" s="99" customFormat="1" x14ac:dyDescent="0.25">
      <c r="A13" s="99" t="s">
        <v>17</v>
      </c>
      <c r="B13" s="100">
        <f>SUM(B14:B25)</f>
        <v>222222</v>
      </c>
      <c r="C13" s="100">
        <f>B13*0.09</f>
        <v>19999.98</v>
      </c>
      <c r="D13" s="100">
        <f>C13+B13</f>
        <v>242221.98</v>
      </c>
      <c r="E13" s="110"/>
      <c r="F13" s="14">
        <f>AVERAGE(F14:F25)</f>
        <v>0.11999999999999998</v>
      </c>
      <c r="G13" s="14">
        <f>AVERAGE(G14:G25)</f>
        <v>0.59666666666666657</v>
      </c>
      <c r="H13" s="14">
        <f>1-G13-F13</f>
        <v>0.28333333333333344</v>
      </c>
      <c r="I13" s="107">
        <f>SUM(I14:I25)</f>
        <v>23233.32</v>
      </c>
      <c r="J13" s="124">
        <f t="shared" ref="J13:K13" si="10">SUM(J14:J25)</f>
        <v>2090.9988000000003</v>
      </c>
      <c r="K13" s="124">
        <f t="shared" si="10"/>
        <v>25324.318800000001</v>
      </c>
      <c r="L13" s="107">
        <f>SUM(L14:L25)</f>
        <v>114534.97999999998</v>
      </c>
      <c r="M13" s="110">
        <f>SUM(M14:M25)</f>
        <v>10308.148200000001</v>
      </c>
      <c r="N13" s="109">
        <f>M13+L13</f>
        <v>124843.12819999998</v>
      </c>
      <c r="O13" s="101">
        <f>SUM(O14:O25)</f>
        <v>84453.7</v>
      </c>
      <c r="P13" s="6">
        <f>SUM(P14:P25)</f>
        <v>7600.8330000000005</v>
      </c>
      <c r="Q13" s="109">
        <f>P13+O13</f>
        <v>92054.532999999996</v>
      </c>
      <c r="R13" s="146"/>
    </row>
    <row r="14" spans="1:18" ht="30" x14ac:dyDescent="0.25">
      <c r="A14" s="17" t="s">
        <v>18</v>
      </c>
      <c r="B14" s="18">
        <v>15148</v>
      </c>
      <c r="C14" s="28">
        <f t="shared" ref="C14:C25" si="11">B14*0.09</f>
        <v>1363.32</v>
      </c>
      <c r="D14" s="28">
        <f t="shared" ref="D14:D25" si="12">C14+B14</f>
        <v>16511.32</v>
      </c>
      <c r="E14" s="27" t="s">
        <v>272</v>
      </c>
      <c r="F14" s="19">
        <v>0</v>
      </c>
      <c r="G14" s="20">
        <f>1-F14</f>
        <v>1</v>
      </c>
      <c r="H14" s="21">
        <f>1-F14-G14</f>
        <v>0</v>
      </c>
      <c r="I14" s="22">
        <f t="shared" ref="I14:I25" si="13">F14*B14</f>
        <v>0</v>
      </c>
      <c r="J14" s="130">
        <f t="shared" ref="J14:J25" si="14">F14*C14</f>
        <v>0</v>
      </c>
      <c r="K14" s="131">
        <f t="shared" ref="K14:K25" si="15">J14+I14</f>
        <v>0</v>
      </c>
      <c r="L14" s="22">
        <f t="shared" ref="L14:L25" si="16">G14*B14</f>
        <v>15148</v>
      </c>
      <c r="M14" s="24">
        <f t="shared" ref="M14:M25" si="17">G14*C14</f>
        <v>1363.32</v>
      </c>
      <c r="N14" s="23">
        <f t="shared" ref="N14:N25" si="18">M14+L14</f>
        <v>16511.32</v>
      </c>
      <c r="O14" s="22">
        <f t="shared" ref="O14:O25" si="19">H14*B14</f>
        <v>0</v>
      </c>
      <c r="P14" s="24">
        <f t="shared" ref="P14:P25" si="20">H14*C14</f>
        <v>0</v>
      </c>
      <c r="Q14" s="23">
        <f t="shared" ref="Q14:Q25" si="21">P14+O14</f>
        <v>0</v>
      </c>
    </row>
    <row r="15" spans="1:18" x14ac:dyDescent="0.25">
      <c r="A15" s="17" t="s">
        <v>19</v>
      </c>
      <c r="B15" s="18">
        <v>87000</v>
      </c>
      <c r="C15" s="28">
        <f t="shared" si="11"/>
        <v>7830</v>
      </c>
      <c r="D15" s="28">
        <f t="shared" si="12"/>
        <v>94830</v>
      </c>
      <c r="E15" s="373" t="s">
        <v>148</v>
      </c>
      <c r="F15" s="19">
        <v>0.18</v>
      </c>
      <c r="G15" s="20">
        <v>0.77</v>
      </c>
      <c r="H15" s="21">
        <f t="shared" ref="H15:H25" si="22">1-F15-G15</f>
        <v>5.0000000000000044E-2</v>
      </c>
      <c r="I15" s="22">
        <f t="shared" si="13"/>
        <v>15660</v>
      </c>
      <c r="J15" s="130">
        <f t="shared" si="14"/>
        <v>1409.3999999999999</v>
      </c>
      <c r="K15" s="131">
        <f t="shared" si="15"/>
        <v>17069.400000000001</v>
      </c>
      <c r="L15" s="22">
        <f t="shared" si="16"/>
        <v>66990</v>
      </c>
      <c r="M15" s="24">
        <f t="shared" si="17"/>
        <v>6029.1</v>
      </c>
      <c r="N15" s="23">
        <f t="shared" si="18"/>
        <v>73019.100000000006</v>
      </c>
      <c r="O15" s="22">
        <f t="shared" si="19"/>
        <v>4350.0000000000036</v>
      </c>
      <c r="P15" s="24">
        <f t="shared" si="20"/>
        <v>391.50000000000034</v>
      </c>
      <c r="Q15" s="23">
        <f t="shared" si="21"/>
        <v>4741.5000000000036</v>
      </c>
    </row>
    <row r="16" spans="1:18" x14ac:dyDescent="0.25">
      <c r="A16" s="17" t="s">
        <v>20</v>
      </c>
      <c r="B16" s="18">
        <v>23450</v>
      </c>
      <c r="C16" s="28">
        <f t="shared" si="11"/>
        <v>2110.5</v>
      </c>
      <c r="D16" s="28">
        <f t="shared" si="12"/>
        <v>25560.5</v>
      </c>
      <c r="E16" s="373" t="s">
        <v>148</v>
      </c>
      <c r="F16" s="19">
        <v>0.18</v>
      </c>
      <c r="G16" s="20">
        <v>0.77</v>
      </c>
      <c r="H16" s="21">
        <f t="shared" si="22"/>
        <v>5.0000000000000044E-2</v>
      </c>
      <c r="I16" s="22">
        <f t="shared" si="13"/>
        <v>4221</v>
      </c>
      <c r="J16" s="130">
        <f t="shared" si="14"/>
        <v>379.89</v>
      </c>
      <c r="K16" s="131">
        <f t="shared" si="15"/>
        <v>4600.8900000000003</v>
      </c>
      <c r="L16" s="22">
        <f t="shared" si="16"/>
        <v>18056.5</v>
      </c>
      <c r="M16" s="24">
        <f t="shared" si="17"/>
        <v>1625.085</v>
      </c>
      <c r="N16" s="23">
        <f t="shared" si="18"/>
        <v>19681.584999999999</v>
      </c>
      <c r="O16" s="22">
        <f t="shared" si="19"/>
        <v>1172.5000000000011</v>
      </c>
      <c r="P16" s="24">
        <f t="shared" si="20"/>
        <v>105.52500000000009</v>
      </c>
      <c r="Q16" s="23">
        <f t="shared" si="21"/>
        <v>1278.0250000000012</v>
      </c>
    </row>
    <row r="17" spans="1:18" x14ac:dyDescent="0.25">
      <c r="A17" s="17" t="s">
        <v>21</v>
      </c>
      <c r="B17" s="18">
        <v>3000</v>
      </c>
      <c r="C17" s="28">
        <f t="shared" si="11"/>
        <v>270</v>
      </c>
      <c r="D17" s="28">
        <f t="shared" si="12"/>
        <v>3270</v>
      </c>
      <c r="E17" s="373" t="s">
        <v>148</v>
      </c>
      <c r="F17" s="19">
        <v>0</v>
      </c>
      <c r="G17" s="20">
        <v>0</v>
      </c>
      <c r="H17" s="21">
        <f t="shared" si="22"/>
        <v>1</v>
      </c>
      <c r="I17" s="22">
        <f t="shared" si="13"/>
        <v>0</v>
      </c>
      <c r="J17" s="130">
        <f t="shared" si="14"/>
        <v>0</v>
      </c>
      <c r="K17" s="131">
        <f t="shared" si="15"/>
        <v>0</v>
      </c>
      <c r="L17" s="22">
        <f t="shared" si="16"/>
        <v>0</v>
      </c>
      <c r="M17" s="24">
        <f t="shared" si="17"/>
        <v>0</v>
      </c>
      <c r="N17" s="23">
        <f t="shared" si="18"/>
        <v>0</v>
      </c>
      <c r="O17" s="22">
        <f t="shared" si="19"/>
        <v>3000</v>
      </c>
      <c r="P17" s="24">
        <f t="shared" si="20"/>
        <v>270</v>
      </c>
      <c r="Q17" s="23">
        <f t="shared" si="21"/>
        <v>3270</v>
      </c>
    </row>
    <row r="18" spans="1:18" x14ac:dyDescent="0.25">
      <c r="A18" s="17" t="s">
        <v>22</v>
      </c>
      <c r="B18" s="18">
        <v>4659</v>
      </c>
      <c r="C18" s="28">
        <f t="shared" si="11"/>
        <v>419.31</v>
      </c>
      <c r="D18" s="28">
        <f t="shared" si="12"/>
        <v>5078.3100000000004</v>
      </c>
      <c r="E18" s="373" t="s">
        <v>148</v>
      </c>
      <c r="F18" s="19">
        <v>0.18</v>
      </c>
      <c r="G18" s="20">
        <v>0.77</v>
      </c>
      <c r="H18" s="21">
        <f t="shared" si="22"/>
        <v>5.0000000000000044E-2</v>
      </c>
      <c r="I18" s="22">
        <f t="shared" si="13"/>
        <v>838.62</v>
      </c>
      <c r="J18" s="130">
        <f t="shared" si="14"/>
        <v>75.475799999999992</v>
      </c>
      <c r="K18" s="131">
        <f t="shared" si="15"/>
        <v>914.09580000000005</v>
      </c>
      <c r="L18" s="22">
        <f t="shared" si="16"/>
        <v>3587.4300000000003</v>
      </c>
      <c r="M18" s="24">
        <f t="shared" si="17"/>
        <v>322.86869999999999</v>
      </c>
      <c r="N18" s="23">
        <f t="shared" si="18"/>
        <v>3910.2987000000003</v>
      </c>
      <c r="O18" s="22">
        <f t="shared" si="19"/>
        <v>232.95000000000022</v>
      </c>
      <c r="P18" s="24">
        <f t="shared" si="20"/>
        <v>20.96550000000002</v>
      </c>
      <c r="Q18" s="23">
        <f t="shared" si="21"/>
        <v>253.91550000000024</v>
      </c>
    </row>
    <row r="19" spans="1:18" x14ac:dyDescent="0.25">
      <c r="A19" s="17" t="s">
        <v>23</v>
      </c>
      <c r="B19" s="18">
        <v>1034</v>
      </c>
      <c r="C19" s="28">
        <f t="shared" si="11"/>
        <v>93.06</v>
      </c>
      <c r="D19" s="28">
        <f t="shared" si="12"/>
        <v>1127.06</v>
      </c>
      <c r="E19" s="373" t="s">
        <v>148</v>
      </c>
      <c r="F19" s="19">
        <v>0.18</v>
      </c>
      <c r="G19" s="20">
        <v>0.77</v>
      </c>
      <c r="H19" s="21">
        <f t="shared" si="22"/>
        <v>5.0000000000000044E-2</v>
      </c>
      <c r="I19" s="22">
        <f t="shared" si="13"/>
        <v>186.12</v>
      </c>
      <c r="J19" s="130">
        <f t="shared" si="14"/>
        <v>16.750799999999998</v>
      </c>
      <c r="K19" s="131">
        <f t="shared" si="15"/>
        <v>202.8708</v>
      </c>
      <c r="L19" s="22">
        <f t="shared" si="16"/>
        <v>796.18000000000006</v>
      </c>
      <c r="M19" s="24">
        <f t="shared" si="17"/>
        <v>71.656199999999998</v>
      </c>
      <c r="N19" s="23">
        <f t="shared" si="18"/>
        <v>867.83620000000008</v>
      </c>
      <c r="O19" s="22">
        <f t="shared" si="19"/>
        <v>51.700000000000045</v>
      </c>
      <c r="P19" s="24">
        <f t="shared" si="20"/>
        <v>4.653000000000004</v>
      </c>
      <c r="Q19" s="23">
        <f t="shared" si="21"/>
        <v>56.353000000000051</v>
      </c>
    </row>
    <row r="20" spans="1:18" x14ac:dyDescent="0.25">
      <c r="A20" s="17" t="s">
        <v>24</v>
      </c>
      <c r="B20" s="18">
        <v>168</v>
      </c>
      <c r="C20" s="28">
        <f t="shared" si="11"/>
        <v>15.12</v>
      </c>
      <c r="D20" s="28">
        <f t="shared" si="12"/>
        <v>183.12</v>
      </c>
      <c r="E20" s="373" t="s">
        <v>148</v>
      </c>
      <c r="F20" s="19">
        <v>0.18</v>
      </c>
      <c r="G20" s="20">
        <v>0.77</v>
      </c>
      <c r="H20" s="21">
        <f t="shared" si="22"/>
        <v>5.0000000000000044E-2</v>
      </c>
      <c r="I20" s="22">
        <f t="shared" si="13"/>
        <v>30.24</v>
      </c>
      <c r="J20" s="130">
        <f t="shared" si="14"/>
        <v>2.7215999999999996</v>
      </c>
      <c r="K20" s="131">
        <f t="shared" si="15"/>
        <v>32.961599999999997</v>
      </c>
      <c r="L20" s="22">
        <f t="shared" si="16"/>
        <v>129.36000000000001</v>
      </c>
      <c r="M20" s="24">
        <f t="shared" si="17"/>
        <v>11.6424</v>
      </c>
      <c r="N20" s="23">
        <f t="shared" si="18"/>
        <v>141.00240000000002</v>
      </c>
      <c r="O20" s="22">
        <f t="shared" si="19"/>
        <v>8.4000000000000075</v>
      </c>
      <c r="P20" s="24">
        <f t="shared" si="20"/>
        <v>0.75600000000000067</v>
      </c>
      <c r="Q20" s="23">
        <f t="shared" si="21"/>
        <v>9.1560000000000077</v>
      </c>
    </row>
    <row r="21" spans="1:18" x14ac:dyDescent="0.25">
      <c r="A21" s="17" t="s">
        <v>25</v>
      </c>
      <c r="B21" s="18">
        <v>1400</v>
      </c>
      <c r="C21" s="28">
        <f t="shared" si="11"/>
        <v>126</v>
      </c>
      <c r="D21" s="28">
        <f t="shared" si="12"/>
        <v>1526</v>
      </c>
      <c r="E21" s="373" t="s">
        <v>148</v>
      </c>
      <c r="F21" s="19">
        <v>0.18</v>
      </c>
      <c r="G21" s="20">
        <v>0.77</v>
      </c>
      <c r="H21" s="21">
        <f t="shared" si="22"/>
        <v>5.0000000000000044E-2</v>
      </c>
      <c r="I21" s="22">
        <f t="shared" si="13"/>
        <v>252</v>
      </c>
      <c r="J21" s="130">
        <f t="shared" si="14"/>
        <v>22.68</v>
      </c>
      <c r="K21" s="131">
        <f t="shared" si="15"/>
        <v>274.68</v>
      </c>
      <c r="L21" s="22">
        <f t="shared" si="16"/>
        <v>1078</v>
      </c>
      <c r="M21" s="24">
        <f t="shared" si="17"/>
        <v>97.02</v>
      </c>
      <c r="N21" s="23">
        <f t="shared" si="18"/>
        <v>1175.02</v>
      </c>
      <c r="O21" s="22">
        <f t="shared" si="19"/>
        <v>70.000000000000057</v>
      </c>
      <c r="P21" s="24">
        <f t="shared" si="20"/>
        <v>6.300000000000006</v>
      </c>
      <c r="Q21" s="23">
        <f t="shared" si="21"/>
        <v>76.300000000000068</v>
      </c>
    </row>
    <row r="22" spans="1:18" x14ac:dyDescent="0.25">
      <c r="A22" s="17" t="s">
        <v>26</v>
      </c>
      <c r="B22" s="18">
        <v>200</v>
      </c>
      <c r="C22" s="28">
        <f t="shared" si="11"/>
        <v>18</v>
      </c>
      <c r="D22" s="28">
        <f t="shared" si="12"/>
        <v>218</v>
      </c>
      <c r="E22" s="373" t="s">
        <v>148</v>
      </c>
      <c r="F22" s="19">
        <v>0.18</v>
      </c>
      <c r="G22" s="20">
        <v>0.77</v>
      </c>
      <c r="H22" s="21">
        <f t="shared" si="22"/>
        <v>5.0000000000000044E-2</v>
      </c>
      <c r="I22" s="22">
        <f t="shared" si="13"/>
        <v>36</v>
      </c>
      <c r="J22" s="130">
        <f t="shared" si="14"/>
        <v>3.2399999999999998</v>
      </c>
      <c r="K22" s="131">
        <f t="shared" si="15"/>
        <v>39.24</v>
      </c>
      <c r="L22" s="22">
        <f t="shared" si="16"/>
        <v>154</v>
      </c>
      <c r="M22" s="24">
        <f t="shared" si="17"/>
        <v>13.86</v>
      </c>
      <c r="N22" s="23">
        <f t="shared" si="18"/>
        <v>167.86</v>
      </c>
      <c r="O22" s="22">
        <f t="shared" si="19"/>
        <v>10.000000000000009</v>
      </c>
      <c r="P22" s="24">
        <f t="shared" si="20"/>
        <v>0.9000000000000008</v>
      </c>
      <c r="Q22" s="23">
        <f t="shared" si="21"/>
        <v>10.900000000000009</v>
      </c>
    </row>
    <row r="23" spans="1:18" x14ac:dyDescent="0.25">
      <c r="A23" s="17" t="s">
        <v>27</v>
      </c>
      <c r="B23" s="18">
        <v>10000</v>
      </c>
      <c r="C23" s="28">
        <f t="shared" si="11"/>
        <v>900</v>
      </c>
      <c r="D23" s="28">
        <f t="shared" si="12"/>
        <v>10900</v>
      </c>
      <c r="E23" s="373" t="s">
        <v>148</v>
      </c>
      <c r="F23" s="19">
        <v>0</v>
      </c>
      <c r="G23" s="20">
        <v>0</v>
      </c>
      <c r="H23" s="21">
        <f t="shared" si="22"/>
        <v>1</v>
      </c>
      <c r="I23" s="22">
        <f t="shared" si="13"/>
        <v>0</v>
      </c>
      <c r="J23" s="130">
        <f t="shared" si="14"/>
        <v>0</v>
      </c>
      <c r="K23" s="131">
        <f t="shared" si="15"/>
        <v>0</v>
      </c>
      <c r="L23" s="22">
        <f t="shared" si="16"/>
        <v>0</v>
      </c>
      <c r="M23" s="24">
        <f t="shared" si="17"/>
        <v>0</v>
      </c>
      <c r="N23" s="23">
        <f t="shared" si="18"/>
        <v>0</v>
      </c>
      <c r="O23" s="22">
        <f t="shared" si="19"/>
        <v>10000</v>
      </c>
      <c r="P23" s="24">
        <f t="shared" si="20"/>
        <v>900</v>
      </c>
      <c r="Q23" s="23">
        <f t="shared" si="21"/>
        <v>10900</v>
      </c>
    </row>
    <row r="24" spans="1:18" x14ac:dyDescent="0.25">
      <c r="A24" s="17" t="s">
        <v>28</v>
      </c>
      <c r="B24" s="18">
        <v>65000</v>
      </c>
      <c r="C24" s="28">
        <f t="shared" si="11"/>
        <v>5850</v>
      </c>
      <c r="D24" s="28">
        <f t="shared" si="12"/>
        <v>70850</v>
      </c>
      <c r="E24" s="373" t="s">
        <v>148</v>
      </c>
      <c r="F24" s="19">
        <v>0</v>
      </c>
      <c r="G24" s="20">
        <v>0</v>
      </c>
      <c r="H24" s="21">
        <f t="shared" si="22"/>
        <v>1</v>
      </c>
      <c r="I24" s="22">
        <f t="shared" si="13"/>
        <v>0</v>
      </c>
      <c r="J24" s="130">
        <f t="shared" si="14"/>
        <v>0</v>
      </c>
      <c r="K24" s="131">
        <f t="shared" si="15"/>
        <v>0</v>
      </c>
      <c r="L24" s="22">
        <f t="shared" si="16"/>
        <v>0</v>
      </c>
      <c r="M24" s="24">
        <f t="shared" si="17"/>
        <v>0</v>
      </c>
      <c r="N24" s="23">
        <f t="shared" si="18"/>
        <v>0</v>
      </c>
      <c r="O24" s="22">
        <f t="shared" si="19"/>
        <v>65000</v>
      </c>
      <c r="P24" s="24">
        <f t="shared" si="20"/>
        <v>5850</v>
      </c>
      <c r="Q24" s="23">
        <f t="shared" si="21"/>
        <v>70850</v>
      </c>
    </row>
    <row r="25" spans="1:18" x14ac:dyDescent="0.25">
      <c r="A25" s="17" t="s">
        <v>29</v>
      </c>
      <c r="B25" s="18">
        <v>11163</v>
      </c>
      <c r="C25" s="18">
        <f t="shared" si="11"/>
        <v>1004.67</v>
      </c>
      <c r="D25" s="18">
        <f t="shared" si="12"/>
        <v>12167.67</v>
      </c>
      <c r="E25" s="373" t="s">
        <v>148</v>
      </c>
      <c r="F25" s="19">
        <v>0.18</v>
      </c>
      <c r="G25" s="20">
        <v>0.77</v>
      </c>
      <c r="H25" s="21">
        <f t="shared" si="22"/>
        <v>5.0000000000000044E-2</v>
      </c>
      <c r="I25" s="22">
        <f t="shared" si="13"/>
        <v>2009.34</v>
      </c>
      <c r="J25" s="130">
        <f t="shared" si="14"/>
        <v>180.84059999999999</v>
      </c>
      <c r="K25" s="131">
        <f t="shared" si="15"/>
        <v>2190.1805999999997</v>
      </c>
      <c r="L25" s="22">
        <f t="shared" si="16"/>
        <v>8595.51</v>
      </c>
      <c r="M25" s="24">
        <f t="shared" si="17"/>
        <v>773.59590000000003</v>
      </c>
      <c r="N25" s="23">
        <f t="shared" si="18"/>
        <v>9369.1059000000005</v>
      </c>
      <c r="O25" s="22">
        <f t="shared" si="19"/>
        <v>558.15000000000055</v>
      </c>
      <c r="P25" s="24">
        <f t="shared" si="20"/>
        <v>50.233500000000042</v>
      </c>
      <c r="Q25" s="23">
        <f t="shared" si="21"/>
        <v>608.38350000000059</v>
      </c>
    </row>
    <row r="26" spans="1:18" x14ac:dyDescent="0.25">
      <c r="A26" s="17"/>
    </row>
    <row r="27" spans="1:18" s="99" customFormat="1" x14ac:dyDescent="0.25">
      <c r="A27" s="99" t="s">
        <v>30</v>
      </c>
      <c r="B27" s="100">
        <f>SUM(B28:B31)</f>
        <v>12427</v>
      </c>
      <c r="C27" s="100">
        <f>B27*0.09</f>
        <v>1118.43</v>
      </c>
      <c r="D27" s="100">
        <f>C27+B27</f>
        <v>13545.43</v>
      </c>
      <c r="E27" s="110"/>
      <c r="F27" s="14">
        <f>AVERAGE(F28:F31)</f>
        <v>0.18</v>
      </c>
      <c r="G27" s="14">
        <f>AVERAGE(G28:G31)</f>
        <v>0.77</v>
      </c>
      <c r="H27" s="14">
        <f>1-G27-F27</f>
        <v>4.9999999999999989E-2</v>
      </c>
      <c r="I27" s="107">
        <f>SUM(I28:I31)</f>
        <v>2236.86</v>
      </c>
      <c r="J27" s="108">
        <f>SUM(J28:J31)</f>
        <v>201.31739999999999</v>
      </c>
      <c r="K27" s="109">
        <f>J27+I27</f>
        <v>2438.1774</v>
      </c>
      <c r="L27" s="107">
        <f>SUM(L28:L31)</f>
        <v>9568.7900000000009</v>
      </c>
      <c r="M27" s="110">
        <f>SUM(M28:M31)</f>
        <v>861.19110000000001</v>
      </c>
      <c r="N27" s="109">
        <f>M27+L27</f>
        <v>10429.981100000001</v>
      </c>
      <c r="O27" s="101">
        <f>SUM(O28:O31)</f>
        <v>621.35000000000059</v>
      </c>
      <c r="P27" s="6">
        <f>SUM(P28:P31)</f>
        <v>55.921500000000052</v>
      </c>
      <c r="Q27" s="109">
        <f>P27+O27</f>
        <v>677.27150000000063</v>
      </c>
      <c r="R27" s="146"/>
    </row>
    <row r="28" spans="1:18" x14ac:dyDescent="0.25">
      <c r="A28" s="17" t="s">
        <v>31</v>
      </c>
      <c r="B28" s="18">
        <v>1572</v>
      </c>
      <c r="C28" s="28">
        <f t="shared" ref="C28:C31" si="23">B28*0.09</f>
        <v>141.47999999999999</v>
      </c>
      <c r="D28" s="28">
        <f t="shared" ref="D28:D31" si="24">C28+B28</f>
        <v>1713.48</v>
      </c>
      <c r="E28" s="373" t="s">
        <v>148</v>
      </c>
      <c r="F28" s="19">
        <v>0.18</v>
      </c>
      <c r="G28" s="20">
        <v>0.77</v>
      </c>
      <c r="H28" s="21">
        <f>1-F28-G28</f>
        <v>5.0000000000000044E-2</v>
      </c>
      <c r="I28" s="22">
        <f>F28*B28</f>
        <v>282.95999999999998</v>
      </c>
      <c r="J28" s="130">
        <f>F28*C28</f>
        <v>25.466399999999997</v>
      </c>
      <c r="K28" s="131">
        <f t="shared" ref="K28:K31" si="25">J28+I28</f>
        <v>308.4264</v>
      </c>
      <c r="L28" s="22">
        <f>G28*B28</f>
        <v>1210.44</v>
      </c>
      <c r="M28" s="24">
        <f>G28*C28</f>
        <v>108.9396</v>
      </c>
      <c r="N28" s="23">
        <f t="shared" ref="N28:N31" si="26">M28+L28</f>
        <v>1319.3796</v>
      </c>
      <c r="O28" s="22">
        <f>H28*B28</f>
        <v>78.600000000000065</v>
      </c>
      <c r="P28" s="24">
        <f>H28*C28</f>
        <v>7.0740000000000061</v>
      </c>
      <c r="Q28" s="23">
        <f t="shared" ref="Q28:Q31" si="27">P28+O28</f>
        <v>85.674000000000078</v>
      </c>
    </row>
    <row r="29" spans="1:18" x14ac:dyDescent="0.25">
      <c r="A29" s="17" t="s">
        <v>32</v>
      </c>
      <c r="B29" s="18">
        <v>855</v>
      </c>
      <c r="C29" s="28">
        <f t="shared" si="23"/>
        <v>76.95</v>
      </c>
      <c r="D29" s="28">
        <f t="shared" si="24"/>
        <v>931.95</v>
      </c>
      <c r="E29" s="373" t="s">
        <v>148</v>
      </c>
      <c r="F29" s="19">
        <v>0.18</v>
      </c>
      <c r="G29" s="20">
        <v>0.77</v>
      </c>
      <c r="H29" s="21">
        <f t="shared" ref="H29:H31" si="28">1-F29-G29</f>
        <v>5.0000000000000044E-2</v>
      </c>
      <c r="I29" s="22">
        <f>F29*B29</f>
        <v>153.9</v>
      </c>
      <c r="J29" s="130">
        <f>F29*C29</f>
        <v>13.851000000000001</v>
      </c>
      <c r="K29" s="131">
        <f t="shared" si="25"/>
        <v>167.751</v>
      </c>
      <c r="L29" s="22">
        <f>G29*B29</f>
        <v>658.35</v>
      </c>
      <c r="M29" s="24">
        <f>G29*C29</f>
        <v>59.2515</v>
      </c>
      <c r="N29" s="23">
        <f t="shared" si="26"/>
        <v>717.60149999999999</v>
      </c>
      <c r="O29" s="22">
        <f>H29*B29</f>
        <v>42.750000000000036</v>
      </c>
      <c r="P29" s="24">
        <f>H29*C29</f>
        <v>3.8475000000000037</v>
      </c>
      <c r="Q29" s="23">
        <f t="shared" si="27"/>
        <v>46.597500000000039</v>
      </c>
    </row>
    <row r="30" spans="1:18" x14ac:dyDescent="0.25">
      <c r="A30" s="17" t="s">
        <v>33</v>
      </c>
      <c r="B30" s="18">
        <v>5000</v>
      </c>
      <c r="C30" s="28">
        <f t="shared" si="23"/>
        <v>450</v>
      </c>
      <c r="D30" s="28">
        <f t="shared" si="24"/>
        <v>5450</v>
      </c>
      <c r="E30" s="373" t="s">
        <v>148</v>
      </c>
      <c r="F30" s="19">
        <v>0.18</v>
      </c>
      <c r="G30" s="20">
        <v>0.77</v>
      </c>
      <c r="H30" s="21">
        <f t="shared" si="28"/>
        <v>5.0000000000000044E-2</v>
      </c>
      <c r="I30" s="22">
        <f>F30*B30</f>
        <v>900</v>
      </c>
      <c r="J30" s="130">
        <f>F30*C30</f>
        <v>81</v>
      </c>
      <c r="K30" s="131">
        <f t="shared" si="25"/>
        <v>981</v>
      </c>
      <c r="L30" s="22">
        <f>G30*B30</f>
        <v>3850</v>
      </c>
      <c r="M30" s="24">
        <f>G30*C30</f>
        <v>346.5</v>
      </c>
      <c r="N30" s="23">
        <f t="shared" si="26"/>
        <v>4196.5</v>
      </c>
      <c r="O30" s="22">
        <f>H30*B30</f>
        <v>250.00000000000023</v>
      </c>
      <c r="P30" s="24">
        <f>H30*C30</f>
        <v>22.500000000000021</v>
      </c>
      <c r="Q30" s="23">
        <f t="shared" si="27"/>
        <v>272.50000000000023</v>
      </c>
    </row>
    <row r="31" spans="1:18" x14ac:dyDescent="0.25">
      <c r="A31" s="17" t="s">
        <v>34</v>
      </c>
      <c r="B31" s="18">
        <v>5000</v>
      </c>
      <c r="C31" s="28">
        <f t="shared" si="23"/>
        <v>450</v>
      </c>
      <c r="D31" s="28">
        <f t="shared" si="24"/>
        <v>5450</v>
      </c>
      <c r="E31" s="373" t="s">
        <v>148</v>
      </c>
      <c r="F31" s="19">
        <v>0.18</v>
      </c>
      <c r="G31" s="20">
        <v>0.77</v>
      </c>
      <c r="H31" s="21">
        <f t="shared" si="28"/>
        <v>5.0000000000000044E-2</v>
      </c>
      <c r="I31" s="22">
        <f>F31*B31</f>
        <v>900</v>
      </c>
      <c r="J31" s="130">
        <f>F31*C31</f>
        <v>81</v>
      </c>
      <c r="K31" s="131">
        <f t="shared" si="25"/>
        <v>981</v>
      </c>
      <c r="L31" s="22">
        <f>G31*B31</f>
        <v>3850</v>
      </c>
      <c r="M31" s="24">
        <f>G31*C31</f>
        <v>346.5</v>
      </c>
      <c r="N31" s="23">
        <f t="shared" si="26"/>
        <v>4196.5</v>
      </c>
      <c r="O31" s="22">
        <f>H31*B31</f>
        <v>250.00000000000023</v>
      </c>
      <c r="P31" s="24">
        <f>H31*C31</f>
        <v>22.500000000000021</v>
      </c>
      <c r="Q31" s="23">
        <f t="shared" si="27"/>
        <v>272.50000000000023</v>
      </c>
    </row>
    <row r="32" spans="1:18" s="35" customFormat="1" x14ac:dyDescent="0.25">
      <c r="A32" s="33"/>
      <c r="B32" s="28"/>
      <c r="C32" s="28"/>
      <c r="D32" s="28"/>
      <c r="E32" s="16"/>
      <c r="F32" s="29"/>
      <c r="G32" s="30"/>
      <c r="H32" s="30"/>
      <c r="I32" s="15"/>
      <c r="J32" s="34"/>
      <c r="K32" s="32"/>
      <c r="L32" s="15"/>
      <c r="M32" s="16"/>
      <c r="N32" s="60"/>
      <c r="O32" s="15"/>
      <c r="P32" s="16"/>
      <c r="Q32" s="32"/>
      <c r="R32" s="147"/>
    </row>
    <row r="33" spans="1:19" s="99" customFormat="1" x14ac:dyDescent="0.25">
      <c r="A33" s="106" t="s">
        <v>35</v>
      </c>
      <c r="B33" s="100">
        <v>0</v>
      </c>
      <c r="C33" s="100">
        <f>B33*0.09</f>
        <v>0</v>
      </c>
      <c r="D33" s="100">
        <f>C33+B33</f>
        <v>0</v>
      </c>
      <c r="E33" s="373" t="s">
        <v>148</v>
      </c>
      <c r="F33" s="14">
        <v>0.18</v>
      </c>
      <c r="G33" s="25">
        <v>0.77</v>
      </c>
      <c r="H33" s="14">
        <f>1-G33-F33</f>
        <v>4.9999999999999989E-2</v>
      </c>
      <c r="I33" s="107">
        <f>F33*B33</f>
        <v>0</v>
      </c>
      <c r="J33" s="108">
        <f>F33*C33</f>
        <v>0</v>
      </c>
      <c r="K33" s="109">
        <f>J33+I33</f>
        <v>0</v>
      </c>
      <c r="L33" s="107">
        <f>I33*D33</f>
        <v>0</v>
      </c>
      <c r="M33" s="110">
        <f>G33*C33</f>
        <v>0</v>
      </c>
      <c r="N33" s="109">
        <f>M33+L33</f>
        <v>0</v>
      </c>
      <c r="O33" s="101">
        <f>B33*H33</f>
        <v>0</v>
      </c>
      <c r="P33" s="6">
        <f>C33*H33</f>
        <v>0</v>
      </c>
      <c r="Q33" s="109">
        <f>P33+O33</f>
        <v>0</v>
      </c>
      <c r="R33" s="146"/>
    </row>
    <row r="34" spans="1:19" s="44" customFormat="1" x14ac:dyDescent="0.25">
      <c r="A34" s="36"/>
      <c r="B34" s="37"/>
      <c r="C34" s="37"/>
      <c r="D34" s="37"/>
      <c r="E34" s="374"/>
      <c r="F34" s="38"/>
      <c r="G34" s="39"/>
      <c r="H34" s="39"/>
      <c r="I34" s="40"/>
      <c r="J34" s="41"/>
      <c r="K34" s="42"/>
      <c r="L34" s="40"/>
      <c r="M34" s="43"/>
      <c r="N34" s="139"/>
      <c r="O34" s="40"/>
      <c r="P34" s="43"/>
      <c r="Q34" s="211"/>
      <c r="R34" s="207"/>
      <c r="S34" s="207"/>
    </row>
    <row r="35" spans="1:19" s="111" customFormat="1" x14ac:dyDescent="0.25">
      <c r="A35" s="111" t="s">
        <v>36</v>
      </c>
      <c r="B35" s="112">
        <f>SUM(B36,B38,B40,B44,B47)</f>
        <v>27700</v>
      </c>
      <c r="C35" s="112">
        <f>B35*0.09</f>
        <v>2493</v>
      </c>
      <c r="D35" s="112">
        <f>B35+C35</f>
        <v>30193</v>
      </c>
      <c r="E35" s="375"/>
      <c r="F35" s="47">
        <f>AVERAGE(F36,F38,F41:F42,F45,F47)</f>
        <v>0.17999999999999997</v>
      </c>
      <c r="G35" s="47">
        <f t="shared" ref="G35:H35" si="29">AVERAGE(G36,G38,G41:G42,G45,G47)</f>
        <v>0.77</v>
      </c>
      <c r="H35" s="47">
        <f t="shared" si="29"/>
        <v>5.0000000000000017E-2</v>
      </c>
      <c r="I35" s="113">
        <f>SUM(I36,I38,I40,I44,I47)</f>
        <v>4986</v>
      </c>
      <c r="J35" s="114">
        <f>SUM(J36,J38,J40,J44,J47)</f>
        <v>448.74</v>
      </c>
      <c r="K35" s="114">
        <f>J35+I35</f>
        <v>5434.74</v>
      </c>
      <c r="L35" s="113">
        <f>SUM(L36,L38,L40,L44,L47)</f>
        <v>21329</v>
      </c>
      <c r="M35" s="114">
        <f>SUM(M36,M38,M40,M44,M47)</f>
        <v>1919.6100000000001</v>
      </c>
      <c r="N35" s="114">
        <f>M35+L35</f>
        <v>23248.61</v>
      </c>
      <c r="O35" s="113">
        <f>SUM(O36,O38,O40,O44,O47)</f>
        <v>1385.0000000000011</v>
      </c>
      <c r="P35" s="114">
        <f>SUM(P36,P38,P40,P44,P47)</f>
        <v>124.65000000000011</v>
      </c>
      <c r="Q35" s="114">
        <f>P35+O35</f>
        <v>1509.6500000000012</v>
      </c>
      <c r="R35" s="148"/>
    </row>
    <row r="36" spans="1:19" s="120" customFormat="1" ht="30" x14ac:dyDescent="0.25">
      <c r="A36" s="115" t="s">
        <v>10</v>
      </c>
      <c r="B36" s="116">
        <v>0</v>
      </c>
      <c r="C36" s="100">
        <f>B36*0.09</f>
        <v>0</v>
      </c>
      <c r="D36" s="100">
        <f>C36+B36</f>
        <v>0</v>
      </c>
      <c r="E36" s="110" t="s">
        <v>272</v>
      </c>
      <c r="F36" s="51">
        <v>0.18</v>
      </c>
      <c r="G36" s="52">
        <v>0.77</v>
      </c>
      <c r="H36" s="14">
        <f>1-G36-F36</f>
        <v>4.9999999999999989E-2</v>
      </c>
      <c r="I36" s="117">
        <f>F36*B36</f>
        <v>0</v>
      </c>
      <c r="J36" s="118">
        <f>F36*C36</f>
        <v>0</v>
      </c>
      <c r="K36" s="109">
        <f>J36+I36</f>
        <v>0</v>
      </c>
      <c r="L36" s="117">
        <f>G36*B36</f>
        <v>0</v>
      </c>
      <c r="M36" s="119">
        <f>G36*C36</f>
        <v>0</v>
      </c>
      <c r="N36" s="109">
        <f>M36+L36</f>
        <v>0</v>
      </c>
      <c r="O36" s="101">
        <f>B36*H36</f>
        <v>0</v>
      </c>
      <c r="P36" s="6">
        <f>C36*H36</f>
        <v>0</v>
      </c>
      <c r="Q36" s="109">
        <f>P36+O36</f>
        <v>0</v>
      </c>
      <c r="R36" s="149"/>
    </row>
    <row r="37" spans="1:19" s="61" customFormat="1" x14ac:dyDescent="0.25">
      <c r="A37" s="55"/>
      <c r="B37" s="56"/>
      <c r="C37" s="56"/>
      <c r="D37" s="56"/>
      <c r="E37" s="60"/>
      <c r="F37" s="57"/>
      <c r="G37" s="58"/>
      <c r="H37" s="58"/>
      <c r="I37" s="59"/>
      <c r="J37" s="32"/>
      <c r="K37" s="32"/>
      <c r="L37" s="59"/>
      <c r="M37" s="60"/>
      <c r="N37" s="60"/>
      <c r="O37" s="59"/>
      <c r="P37" s="60"/>
      <c r="Q37" s="32"/>
      <c r="R37" s="150"/>
    </row>
    <row r="38" spans="1:19" s="120" customFormat="1" ht="30" x14ac:dyDescent="0.25">
      <c r="A38" s="115" t="s">
        <v>15</v>
      </c>
      <c r="B38" s="116">
        <v>0</v>
      </c>
      <c r="C38" s="100">
        <f>B38*0.09</f>
        <v>0</v>
      </c>
      <c r="D38" s="100">
        <f>C38+B38</f>
        <v>0</v>
      </c>
      <c r="E38" s="110" t="s">
        <v>272</v>
      </c>
      <c r="F38" s="51">
        <v>0.18</v>
      </c>
      <c r="G38" s="52">
        <v>0.77</v>
      </c>
      <c r="H38" s="14">
        <f>1-G38-F38</f>
        <v>4.9999999999999989E-2</v>
      </c>
      <c r="I38" s="117">
        <f>F38*B38</f>
        <v>0</v>
      </c>
      <c r="J38" s="118">
        <f>F38*C38</f>
        <v>0</v>
      </c>
      <c r="K38" s="109">
        <f>J38+I38</f>
        <v>0</v>
      </c>
      <c r="L38" s="117">
        <f>I38*D38</f>
        <v>0</v>
      </c>
      <c r="M38" s="119">
        <f>G38*C38</f>
        <v>0</v>
      </c>
      <c r="N38" s="109">
        <f>M38+L38</f>
        <v>0</v>
      </c>
      <c r="O38" s="101">
        <f>B38*H38</f>
        <v>0</v>
      </c>
      <c r="P38" s="6">
        <f>C38*H38</f>
        <v>0</v>
      </c>
      <c r="Q38" s="109">
        <f>P38+O38</f>
        <v>0</v>
      </c>
      <c r="R38" s="149"/>
    </row>
    <row r="39" spans="1:19" s="61" customFormat="1" x14ac:dyDescent="0.25">
      <c r="A39" s="55"/>
      <c r="B39" s="56"/>
      <c r="C39" s="56"/>
      <c r="D39" s="56"/>
      <c r="E39" s="60"/>
      <c r="F39" s="57"/>
      <c r="G39" s="58"/>
      <c r="H39" s="58"/>
      <c r="I39" s="59"/>
      <c r="J39" s="32"/>
      <c r="K39" s="32"/>
      <c r="L39" s="59"/>
      <c r="M39" s="60"/>
      <c r="N39" s="60"/>
      <c r="O39" s="59"/>
      <c r="P39" s="60"/>
      <c r="Q39" s="32"/>
      <c r="R39" s="150"/>
    </row>
    <row r="40" spans="1:19" s="99" customFormat="1" x14ac:dyDescent="0.25">
      <c r="A40" s="99" t="s">
        <v>37</v>
      </c>
      <c r="B40" s="100">
        <f>SUM(B41:B42)</f>
        <v>27700</v>
      </c>
      <c r="C40" s="100">
        <f>B40*0.09</f>
        <v>2493</v>
      </c>
      <c r="D40" s="100">
        <f>C40+B40</f>
        <v>30193</v>
      </c>
      <c r="E40" s="110"/>
      <c r="F40" s="14">
        <f>AVERAGE(F41:F42)</f>
        <v>0.18</v>
      </c>
      <c r="G40" s="14">
        <f>AVERAGE(G41:G42)</f>
        <v>0.77</v>
      </c>
      <c r="H40" s="14">
        <f>1-G40-F40</f>
        <v>4.9999999999999989E-2</v>
      </c>
      <c r="I40" s="117">
        <f>SUM(I41:I42)</f>
        <v>4986</v>
      </c>
      <c r="J40" s="118">
        <f>SUM(J41:J42)</f>
        <v>448.74</v>
      </c>
      <c r="K40" s="109">
        <f>J40+I40</f>
        <v>5434.74</v>
      </c>
      <c r="L40" s="117">
        <f>SUM(L41:L42)</f>
        <v>21329</v>
      </c>
      <c r="M40" s="119">
        <f>SUM(M41:M42)</f>
        <v>1919.6100000000001</v>
      </c>
      <c r="N40" s="109">
        <f>M40+L40</f>
        <v>23248.61</v>
      </c>
      <c r="O40" s="101">
        <f>SUM(O41:O42)</f>
        <v>1385.0000000000011</v>
      </c>
      <c r="P40" s="6">
        <f>SUM(P41:P42)</f>
        <v>124.65000000000011</v>
      </c>
      <c r="Q40" s="109">
        <f>P40+O40</f>
        <v>1509.6500000000012</v>
      </c>
      <c r="R40" s="146"/>
    </row>
    <row r="41" spans="1:19" x14ac:dyDescent="0.25">
      <c r="A41" s="17" t="s">
        <v>38</v>
      </c>
      <c r="B41" s="18">
        <v>0</v>
      </c>
      <c r="C41" s="28">
        <f t="shared" ref="C41:C42" si="30">B41*0.09</f>
        <v>0</v>
      </c>
      <c r="D41" s="28">
        <f t="shared" ref="D41:D42" si="31">C41+B41</f>
        <v>0</v>
      </c>
      <c r="E41" s="373" t="s">
        <v>148</v>
      </c>
      <c r="F41" s="19">
        <v>0.18</v>
      </c>
      <c r="G41" s="20">
        <v>0.77</v>
      </c>
      <c r="H41" s="21">
        <f t="shared" ref="H41:H42" si="32">1-F41-G41</f>
        <v>5.0000000000000044E-2</v>
      </c>
      <c r="I41" s="22">
        <f>F41*B41</f>
        <v>0</v>
      </c>
      <c r="J41" s="130">
        <f>F41*C41</f>
        <v>0</v>
      </c>
      <c r="K41" s="131">
        <f t="shared" ref="K41:K42" si="33">J41+I41</f>
        <v>0</v>
      </c>
      <c r="L41" s="22">
        <f>G41*B41</f>
        <v>0</v>
      </c>
      <c r="M41" s="24">
        <f>G41*C41</f>
        <v>0</v>
      </c>
      <c r="N41" s="23">
        <f t="shared" ref="N41:N42" si="34">M41+L41</f>
        <v>0</v>
      </c>
      <c r="O41" s="22">
        <f>H41*B41</f>
        <v>0</v>
      </c>
      <c r="P41" s="24">
        <f>H41*C41</f>
        <v>0</v>
      </c>
      <c r="Q41" s="23">
        <f t="shared" ref="Q41:Q42" si="35">P41+O41</f>
        <v>0</v>
      </c>
    </row>
    <row r="42" spans="1:19" x14ac:dyDescent="0.25">
      <c r="A42" s="17" t="s">
        <v>39</v>
      </c>
      <c r="B42" s="18">
        <v>27700</v>
      </c>
      <c r="C42" s="28">
        <f t="shared" si="30"/>
        <v>2493</v>
      </c>
      <c r="D42" s="28">
        <f t="shared" si="31"/>
        <v>30193</v>
      </c>
      <c r="E42" s="373" t="s">
        <v>148</v>
      </c>
      <c r="F42" s="19">
        <v>0.18</v>
      </c>
      <c r="G42" s="20">
        <v>0.77</v>
      </c>
      <c r="H42" s="21">
        <f t="shared" si="32"/>
        <v>5.0000000000000044E-2</v>
      </c>
      <c r="I42" s="22">
        <f>F42*B42</f>
        <v>4986</v>
      </c>
      <c r="J42" s="130">
        <f>F42*C42</f>
        <v>448.74</v>
      </c>
      <c r="K42" s="131">
        <f t="shared" si="33"/>
        <v>5434.74</v>
      </c>
      <c r="L42" s="22">
        <f>G42*B42</f>
        <v>21329</v>
      </c>
      <c r="M42" s="24">
        <f>G42*C42</f>
        <v>1919.6100000000001</v>
      </c>
      <c r="N42" s="23">
        <f t="shared" si="34"/>
        <v>23248.61</v>
      </c>
      <c r="O42" s="22">
        <f>H42*B42</f>
        <v>1385.0000000000011</v>
      </c>
      <c r="P42" s="24">
        <f>H42*C42</f>
        <v>124.65000000000011</v>
      </c>
      <c r="Q42" s="23">
        <f t="shared" si="35"/>
        <v>1509.6500000000012</v>
      </c>
    </row>
    <row r="43" spans="1:19" s="61" customFormat="1" x14ac:dyDescent="0.25">
      <c r="A43" s="55"/>
      <c r="B43" s="56"/>
      <c r="C43" s="56"/>
      <c r="D43" s="56"/>
      <c r="E43" s="60"/>
      <c r="F43" s="57"/>
      <c r="G43" s="58"/>
      <c r="H43" s="58"/>
      <c r="I43" s="59"/>
      <c r="J43" s="32"/>
      <c r="K43" s="32"/>
      <c r="L43" s="59"/>
      <c r="M43" s="60"/>
      <c r="N43" s="60"/>
      <c r="O43" s="59"/>
      <c r="P43" s="60"/>
      <c r="Q43" s="32"/>
      <c r="R43" s="150"/>
    </row>
    <row r="44" spans="1:19" s="99" customFormat="1" x14ac:dyDescent="0.25">
      <c r="A44" s="99" t="s">
        <v>30</v>
      </c>
      <c r="B44" s="100">
        <f>B45</f>
        <v>0</v>
      </c>
      <c r="C44" s="100">
        <f>B44*0.09</f>
        <v>0</v>
      </c>
      <c r="D44" s="100">
        <f>C44+B44</f>
        <v>0</v>
      </c>
      <c r="E44" s="110"/>
      <c r="F44" s="14">
        <f>AVERAGE(F45:F46)</f>
        <v>0.18</v>
      </c>
      <c r="G44" s="14">
        <f>AVERAGE(G45:G46)</f>
        <v>0.77</v>
      </c>
      <c r="H44" s="14">
        <f>1-G44-F44</f>
        <v>4.9999999999999989E-2</v>
      </c>
      <c r="I44" s="117">
        <f>SUM(I45)</f>
        <v>0</v>
      </c>
      <c r="J44" s="118">
        <f>SUM(J45)</f>
        <v>0</v>
      </c>
      <c r="K44" s="109">
        <f>J44+I44</f>
        <v>0</v>
      </c>
      <c r="L44" s="117">
        <f>SUM(L45)</f>
        <v>0</v>
      </c>
      <c r="M44" s="119">
        <f>SUM(M45)</f>
        <v>0</v>
      </c>
      <c r="N44" s="109">
        <f>M44+L44</f>
        <v>0</v>
      </c>
      <c r="O44" s="101">
        <f>SUM(O45)</f>
        <v>0</v>
      </c>
      <c r="P44" s="6">
        <f>SUM(P45)</f>
        <v>0</v>
      </c>
      <c r="Q44" s="109">
        <f>P44+O44</f>
        <v>0</v>
      </c>
      <c r="R44" s="146"/>
    </row>
    <row r="45" spans="1:19" x14ac:dyDescent="0.25">
      <c r="A45" s="17" t="s">
        <v>40</v>
      </c>
      <c r="B45" s="18">
        <v>0</v>
      </c>
      <c r="C45" s="28">
        <f t="shared" ref="C45" si="36">B45*0.09</f>
        <v>0</v>
      </c>
      <c r="D45" s="28">
        <f t="shared" ref="D45" si="37">C45+B45</f>
        <v>0</v>
      </c>
      <c r="E45" s="373" t="s">
        <v>148</v>
      </c>
      <c r="F45" s="19">
        <v>0.18</v>
      </c>
      <c r="G45" s="20">
        <v>0.77</v>
      </c>
      <c r="H45" s="21">
        <f t="shared" ref="H45" si="38">1-F45-G45</f>
        <v>5.0000000000000044E-2</v>
      </c>
      <c r="I45" s="22">
        <f>F45*B45</f>
        <v>0</v>
      </c>
      <c r="J45" s="130">
        <f>F45*C45</f>
        <v>0</v>
      </c>
      <c r="K45" s="131">
        <f t="shared" ref="K45" si="39">J45+I45</f>
        <v>0</v>
      </c>
      <c r="L45" s="22">
        <f>G45*B45</f>
        <v>0</v>
      </c>
      <c r="M45" s="24">
        <f>G45*C45</f>
        <v>0</v>
      </c>
      <c r="N45" s="23">
        <f t="shared" ref="N45" si="40">M45+L45</f>
        <v>0</v>
      </c>
      <c r="O45" s="22">
        <f>H45*B45</f>
        <v>0</v>
      </c>
      <c r="P45" s="24">
        <f>H45*C45</f>
        <v>0</v>
      </c>
      <c r="Q45" s="23">
        <f t="shared" ref="Q45" si="41">P45+O45</f>
        <v>0</v>
      </c>
    </row>
    <row r="46" spans="1:19" s="45" customFormat="1" x14ac:dyDescent="0.25">
      <c r="B46" s="46"/>
      <c r="C46" s="46"/>
      <c r="D46" s="46"/>
      <c r="E46" s="66"/>
      <c r="F46" s="62"/>
      <c r="G46" s="63"/>
      <c r="H46" s="63"/>
      <c r="I46" s="49"/>
      <c r="J46" s="64"/>
      <c r="K46" s="65"/>
      <c r="L46" s="49"/>
      <c r="M46" s="66"/>
      <c r="N46" s="54"/>
      <c r="O46" s="49"/>
      <c r="P46" s="66"/>
      <c r="Q46" s="65"/>
      <c r="R46" s="151"/>
    </row>
    <row r="47" spans="1:19" s="99" customFormat="1" x14ac:dyDescent="0.25">
      <c r="A47" s="106" t="s">
        <v>35</v>
      </c>
      <c r="B47" s="100">
        <v>0</v>
      </c>
      <c r="C47" s="100">
        <f>B47*0.09</f>
        <v>0</v>
      </c>
      <c r="D47" s="100">
        <f>C47+B47</f>
        <v>0</v>
      </c>
      <c r="E47" s="373" t="s">
        <v>148</v>
      </c>
      <c r="F47" s="51">
        <v>0.18</v>
      </c>
      <c r="G47" s="52">
        <v>0.77</v>
      </c>
      <c r="H47" s="14">
        <f>1-G47-F47</f>
        <v>4.9999999999999989E-2</v>
      </c>
      <c r="I47" s="117">
        <f>F47*B47</f>
        <v>0</v>
      </c>
      <c r="J47" s="118">
        <f>F47*C47</f>
        <v>0</v>
      </c>
      <c r="K47" s="109">
        <f>J47+I47</f>
        <v>0</v>
      </c>
      <c r="L47" s="117">
        <f>G47*B47</f>
        <v>0</v>
      </c>
      <c r="M47" s="119">
        <f>G47*C47</f>
        <v>0</v>
      </c>
      <c r="N47" s="109">
        <f>M47+L47</f>
        <v>0</v>
      </c>
      <c r="O47" s="101">
        <f>B47*H47</f>
        <v>0</v>
      </c>
      <c r="P47" s="6">
        <f>C47*H47</f>
        <v>0</v>
      </c>
      <c r="Q47" s="109">
        <f>P47+O47</f>
        <v>0</v>
      </c>
      <c r="R47" s="146"/>
    </row>
    <row r="48" spans="1:19" s="67" customFormat="1" x14ac:dyDescent="0.25">
      <c r="B48" s="68"/>
      <c r="C48" s="68"/>
      <c r="D48" s="68"/>
      <c r="E48" s="74"/>
      <c r="F48" s="69"/>
      <c r="G48" s="70"/>
      <c r="H48" s="70"/>
      <c r="I48" s="71"/>
      <c r="J48" s="72"/>
      <c r="K48" s="73"/>
      <c r="L48" s="71"/>
      <c r="M48" s="74"/>
      <c r="N48" s="140"/>
      <c r="O48" s="71"/>
      <c r="P48" s="74"/>
      <c r="Q48" s="212"/>
      <c r="R48" s="216"/>
      <c r="S48" s="216"/>
    </row>
    <row r="49" spans="1:18" s="111" customFormat="1" x14ac:dyDescent="0.25">
      <c r="A49" s="111" t="s">
        <v>41</v>
      </c>
      <c r="B49" s="112">
        <f>SUM(B50,B52,B57,B63,B66)</f>
        <v>146871</v>
      </c>
      <c r="C49" s="112">
        <f>B49*0.09</f>
        <v>13218.39</v>
      </c>
      <c r="D49" s="112">
        <f>B49+C49</f>
        <v>160089.39000000001</v>
      </c>
      <c r="E49" s="375"/>
      <c r="F49" s="47">
        <f>AVERAGE(F50,F53:F55,F58:F61,F64,F66)</f>
        <v>1</v>
      </c>
      <c r="G49" s="47">
        <f t="shared" ref="G49:H49" si="42">AVERAGE(G50,G53:G55,G58:G61,G64,G66)</f>
        <v>0</v>
      </c>
      <c r="H49" s="47">
        <f t="shared" si="42"/>
        <v>0</v>
      </c>
      <c r="I49" s="113">
        <f>SUM(I50,I52,I57,I63,I66)</f>
        <v>146871</v>
      </c>
      <c r="J49" s="114">
        <f>SUM(J50,J52,J57,J63,J66)</f>
        <v>13218.39</v>
      </c>
      <c r="K49" s="114">
        <f>J49+I49</f>
        <v>160089.39000000001</v>
      </c>
      <c r="L49" s="113">
        <f>SUM(L50,L52,L57,L63,L66)</f>
        <v>0</v>
      </c>
      <c r="M49" s="114">
        <f>SUM(M50,M52,M57,M63,M66)</f>
        <v>0</v>
      </c>
      <c r="N49" s="114">
        <f>M49+L49</f>
        <v>0</v>
      </c>
      <c r="O49" s="113">
        <f>SUM(O50,O52,O57,O63,O66)</f>
        <v>0</v>
      </c>
      <c r="P49" s="114">
        <f>SUM(P50,P52,P57,P63,P66)</f>
        <v>0</v>
      </c>
      <c r="Q49" s="114">
        <f>P49+O49</f>
        <v>0</v>
      </c>
      <c r="R49" s="148"/>
    </row>
    <row r="50" spans="1:18" s="120" customFormat="1" ht="30" x14ac:dyDescent="0.25">
      <c r="A50" s="120" t="s">
        <v>42</v>
      </c>
      <c r="B50" s="116">
        <v>0</v>
      </c>
      <c r="C50" s="116">
        <f>B50*0.09</f>
        <v>0</v>
      </c>
      <c r="D50" s="116">
        <f>C50+B50</f>
        <v>0</v>
      </c>
      <c r="E50" s="119" t="s">
        <v>272</v>
      </c>
      <c r="F50" s="75">
        <v>1</v>
      </c>
      <c r="G50" s="76">
        <f t="shared" ref="G50:G66" si="43">1-F50</f>
        <v>0</v>
      </c>
      <c r="H50" s="14">
        <f>1-G50-F50</f>
        <v>0</v>
      </c>
      <c r="I50" s="117">
        <f>F50*B50</f>
        <v>0</v>
      </c>
      <c r="J50" s="118">
        <f>F50*C50</f>
        <v>0</v>
      </c>
      <c r="K50" s="109">
        <f>J50+I50</f>
        <v>0</v>
      </c>
      <c r="L50" s="117">
        <f>G50*B50</f>
        <v>0</v>
      </c>
      <c r="M50" s="119">
        <f>G50*C50</f>
        <v>0</v>
      </c>
      <c r="N50" s="109">
        <f>M50+L50</f>
        <v>0</v>
      </c>
      <c r="O50" s="101">
        <f>B50*H50</f>
        <v>0</v>
      </c>
      <c r="P50" s="6">
        <f>C50*H50</f>
        <v>0</v>
      </c>
      <c r="Q50" s="109">
        <f>P50+O50</f>
        <v>0</v>
      </c>
      <c r="R50" s="149"/>
    </row>
    <row r="51" spans="1:18" s="45" customFormat="1" x14ac:dyDescent="0.25">
      <c r="B51" s="46"/>
      <c r="C51" s="46"/>
      <c r="D51" s="46"/>
      <c r="E51" s="66"/>
      <c r="F51" s="62"/>
      <c r="G51" s="77"/>
      <c r="H51" s="77"/>
      <c r="I51" s="53"/>
      <c r="J51" s="64"/>
      <c r="K51" s="65"/>
      <c r="L51" s="53"/>
      <c r="M51" s="66"/>
      <c r="N51" s="54"/>
      <c r="O51" s="53"/>
      <c r="P51" s="66"/>
      <c r="Q51" s="65"/>
      <c r="R51" s="151"/>
    </row>
    <row r="52" spans="1:18" s="120" customFormat="1" x14ac:dyDescent="0.25">
      <c r="A52" s="120" t="s">
        <v>15</v>
      </c>
      <c r="B52" s="116">
        <f>SUM(B53:B55)</f>
        <v>13811</v>
      </c>
      <c r="C52" s="116">
        <f t="shared" ref="C52:D52" si="44">SUM(C53:C55)</f>
        <v>1242.9899999999998</v>
      </c>
      <c r="D52" s="116">
        <f t="shared" si="44"/>
        <v>15053.99</v>
      </c>
      <c r="E52" s="119"/>
      <c r="F52" s="78">
        <f>AVERAGE(F53:F55)</f>
        <v>1</v>
      </c>
      <c r="G52" s="77">
        <f>AVERAGE(G53:G55)</f>
        <v>0</v>
      </c>
      <c r="H52" s="14">
        <f>1-G52-F52</f>
        <v>0</v>
      </c>
      <c r="I52" s="117">
        <f>SUM(I53:I55)</f>
        <v>13811</v>
      </c>
      <c r="J52" s="118">
        <f>SUM(J53:J55)</f>
        <v>1242.9899999999998</v>
      </c>
      <c r="K52" s="109">
        <f>J52+I52</f>
        <v>15053.99</v>
      </c>
      <c r="L52" s="117">
        <f>SUM(L53:L55)</f>
        <v>0</v>
      </c>
      <c r="M52" s="119">
        <f>SUM(M53:M55)</f>
        <v>0</v>
      </c>
      <c r="N52" s="109">
        <f>M52+L52</f>
        <v>0</v>
      </c>
      <c r="O52" s="101">
        <f>SUM(O53:O55)</f>
        <v>0</v>
      </c>
      <c r="P52" s="6">
        <f>SUM(P53:P55)</f>
        <v>0</v>
      </c>
      <c r="Q52" s="109">
        <f>P52+O52</f>
        <v>0</v>
      </c>
      <c r="R52" s="149"/>
    </row>
    <row r="53" spans="1:18" s="12" customFormat="1" ht="30" x14ac:dyDescent="0.25">
      <c r="A53" s="17" t="s">
        <v>43</v>
      </c>
      <c r="B53" s="18">
        <v>1295</v>
      </c>
      <c r="C53" s="28">
        <f t="shared" ref="C53:C55" si="45">B53*0.09</f>
        <v>116.55</v>
      </c>
      <c r="D53" s="28">
        <f t="shared" ref="D53:D55" si="46">C53+B53</f>
        <v>1411.55</v>
      </c>
      <c r="E53" s="373" t="s">
        <v>272</v>
      </c>
      <c r="F53" s="79">
        <v>1</v>
      </c>
      <c r="G53" s="80">
        <f t="shared" si="43"/>
        <v>0</v>
      </c>
      <c r="H53" s="81">
        <f>1-G53-F53</f>
        <v>0</v>
      </c>
      <c r="I53" s="22">
        <f>F53*B53</f>
        <v>1295</v>
      </c>
      <c r="J53" s="130">
        <f>F53*C53</f>
        <v>116.55</v>
      </c>
      <c r="K53" s="131">
        <f t="shared" ref="K53:K55" si="47">J53+I53</f>
        <v>1411.55</v>
      </c>
      <c r="L53" s="22">
        <f>G53*B53</f>
        <v>0</v>
      </c>
      <c r="M53" s="24">
        <f>G53*C53</f>
        <v>0</v>
      </c>
      <c r="N53" s="23">
        <f t="shared" ref="N53:N55" si="48">M53+L53</f>
        <v>0</v>
      </c>
      <c r="O53" s="22">
        <f>H53*B53</f>
        <v>0</v>
      </c>
      <c r="P53" s="24">
        <f>H53*C53</f>
        <v>0</v>
      </c>
      <c r="Q53" s="23">
        <f t="shared" ref="Q53:Q55" si="49">P53+O53</f>
        <v>0</v>
      </c>
      <c r="R53" s="152"/>
    </row>
    <row r="54" spans="1:18" s="12" customFormat="1" ht="30" x14ac:dyDescent="0.25">
      <c r="A54" s="17" t="s">
        <v>44</v>
      </c>
      <c r="B54" s="18">
        <v>5086</v>
      </c>
      <c r="C54" s="28">
        <f t="shared" si="45"/>
        <v>457.74</v>
      </c>
      <c r="D54" s="28">
        <f t="shared" si="46"/>
        <v>5543.74</v>
      </c>
      <c r="E54" s="373" t="s">
        <v>272</v>
      </c>
      <c r="F54" s="79">
        <v>1</v>
      </c>
      <c r="G54" s="80">
        <f t="shared" si="43"/>
        <v>0</v>
      </c>
      <c r="H54" s="81">
        <f t="shared" ref="H54:H55" si="50">1-G54-F54</f>
        <v>0</v>
      </c>
      <c r="I54" s="22">
        <f>F54*B54</f>
        <v>5086</v>
      </c>
      <c r="J54" s="130">
        <f>F54*C54</f>
        <v>457.74</v>
      </c>
      <c r="K54" s="131">
        <f t="shared" si="47"/>
        <v>5543.74</v>
      </c>
      <c r="L54" s="22">
        <f>G54*B54</f>
        <v>0</v>
      </c>
      <c r="M54" s="24">
        <f>G54*C54</f>
        <v>0</v>
      </c>
      <c r="N54" s="23">
        <f t="shared" si="48"/>
        <v>0</v>
      </c>
      <c r="O54" s="22">
        <f>H54*B54</f>
        <v>0</v>
      </c>
      <c r="P54" s="24">
        <f>H54*C54</f>
        <v>0</v>
      </c>
      <c r="Q54" s="23">
        <f t="shared" si="49"/>
        <v>0</v>
      </c>
      <c r="R54" s="152"/>
    </row>
    <row r="55" spans="1:18" s="12" customFormat="1" ht="30" x14ac:dyDescent="0.25">
      <c r="A55" s="17" t="s">
        <v>45</v>
      </c>
      <c r="B55" s="18">
        <v>7430</v>
      </c>
      <c r="C55" s="28">
        <f t="shared" si="45"/>
        <v>668.69999999999993</v>
      </c>
      <c r="D55" s="28">
        <f t="shared" si="46"/>
        <v>8098.7</v>
      </c>
      <c r="E55" s="373" t="s">
        <v>272</v>
      </c>
      <c r="F55" s="79">
        <v>1</v>
      </c>
      <c r="G55" s="80">
        <f t="shared" si="43"/>
        <v>0</v>
      </c>
      <c r="H55" s="81">
        <f t="shared" si="50"/>
        <v>0</v>
      </c>
      <c r="I55" s="22">
        <f>F55*B55</f>
        <v>7430</v>
      </c>
      <c r="J55" s="130">
        <f>F55*C55</f>
        <v>668.69999999999993</v>
      </c>
      <c r="K55" s="131">
        <f t="shared" si="47"/>
        <v>8098.7</v>
      </c>
      <c r="L55" s="22">
        <f>G55*B55</f>
        <v>0</v>
      </c>
      <c r="M55" s="24">
        <f>G55*C55</f>
        <v>0</v>
      </c>
      <c r="N55" s="23">
        <f t="shared" si="48"/>
        <v>0</v>
      </c>
      <c r="O55" s="22">
        <f>H55*B55</f>
        <v>0</v>
      </c>
      <c r="P55" s="24">
        <f>H55*C55</f>
        <v>0</v>
      </c>
      <c r="Q55" s="23">
        <f t="shared" si="49"/>
        <v>0</v>
      </c>
      <c r="R55" s="152"/>
    </row>
    <row r="56" spans="1:18" s="12" customFormat="1" x14ac:dyDescent="0.25">
      <c r="B56" s="13"/>
      <c r="C56" s="13"/>
      <c r="D56" s="13"/>
      <c r="E56" s="27"/>
      <c r="F56" s="14"/>
      <c r="G56" s="77"/>
      <c r="H56" s="77"/>
      <c r="I56" s="53"/>
      <c r="J56" s="83"/>
      <c r="K56" s="65"/>
      <c r="L56" s="53"/>
      <c r="M56" s="27"/>
      <c r="N56" s="54"/>
      <c r="O56" s="53"/>
      <c r="P56" s="27"/>
      <c r="Q56" s="65"/>
      <c r="R56" s="152"/>
    </row>
    <row r="57" spans="1:18" s="120" customFormat="1" x14ac:dyDescent="0.25">
      <c r="A57" s="120" t="s">
        <v>37</v>
      </c>
      <c r="B57" s="116">
        <f>SUM(B58:B61)</f>
        <v>132121</v>
      </c>
      <c r="C57" s="116">
        <f>SUM(C58:C61)</f>
        <v>11890.89</v>
      </c>
      <c r="D57" s="116">
        <f>SUM(D58:D61)</f>
        <v>144011.89000000001</v>
      </c>
      <c r="E57" s="119"/>
      <c r="F57" s="78">
        <f>AVERAGE(F58:F61)</f>
        <v>1</v>
      </c>
      <c r="G57" s="77">
        <f>AVERAGE(G58:G61)</f>
        <v>0</v>
      </c>
      <c r="H57" s="14">
        <f>1-G57-F57</f>
        <v>0</v>
      </c>
      <c r="I57" s="117">
        <f>SUM(I58:I61)</f>
        <v>132121</v>
      </c>
      <c r="J57" s="118">
        <f>SUM(J58:J61)</f>
        <v>11890.89</v>
      </c>
      <c r="K57" s="109">
        <f>J57+I57</f>
        <v>144011.89000000001</v>
      </c>
      <c r="L57" s="117">
        <f>SUM(L58:L61)</f>
        <v>0</v>
      </c>
      <c r="M57" s="119">
        <f>SUM(M58:M61)</f>
        <v>0</v>
      </c>
      <c r="N57" s="109">
        <f>M57+L57</f>
        <v>0</v>
      </c>
      <c r="O57" s="101">
        <f>SUM(O58:O61)</f>
        <v>0</v>
      </c>
      <c r="P57" s="6">
        <f>SUM(P58:P61)</f>
        <v>0</v>
      </c>
      <c r="Q57" s="109">
        <f>P57+O57</f>
        <v>0</v>
      </c>
      <c r="R57" s="149"/>
    </row>
    <row r="58" spans="1:18" s="12" customFormat="1" ht="30" x14ac:dyDescent="0.25">
      <c r="A58" s="17" t="s">
        <v>46</v>
      </c>
      <c r="B58" s="18">
        <v>90996</v>
      </c>
      <c r="C58" s="28">
        <f t="shared" ref="C58:C61" si="51">B58*0.09</f>
        <v>8189.6399999999994</v>
      </c>
      <c r="D58" s="28">
        <f t="shared" ref="D58:D61" si="52">C58+B58</f>
        <v>99185.64</v>
      </c>
      <c r="E58" s="373" t="s">
        <v>272</v>
      </c>
      <c r="F58" s="79">
        <v>1</v>
      </c>
      <c r="G58" s="80">
        <f t="shared" si="43"/>
        <v>0</v>
      </c>
      <c r="H58" s="81">
        <f>1-G58-F58</f>
        <v>0</v>
      </c>
      <c r="I58" s="22">
        <f>F58*B58</f>
        <v>90996</v>
      </c>
      <c r="J58" s="130">
        <f>F58*C58</f>
        <v>8189.6399999999994</v>
      </c>
      <c r="K58" s="131">
        <f t="shared" ref="K58:K61" si="53">J58+I58</f>
        <v>99185.64</v>
      </c>
      <c r="L58" s="22">
        <f>G58*B58</f>
        <v>0</v>
      </c>
      <c r="M58" s="24">
        <f>G58*C58</f>
        <v>0</v>
      </c>
      <c r="N58" s="23">
        <f t="shared" ref="N58:N61" si="54">M58+L58</f>
        <v>0</v>
      </c>
      <c r="O58" s="22">
        <f>H58*B58</f>
        <v>0</v>
      </c>
      <c r="P58" s="24">
        <f>H58*C58</f>
        <v>0</v>
      </c>
      <c r="Q58" s="23">
        <f t="shared" ref="Q58:Q61" si="55">P58+O58</f>
        <v>0</v>
      </c>
      <c r="R58" s="152"/>
    </row>
    <row r="59" spans="1:18" s="12" customFormat="1" ht="30" x14ac:dyDescent="0.25">
      <c r="A59" s="17" t="s">
        <v>47</v>
      </c>
      <c r="B59" s="18">
        <v>31125</v>
      </c>
      <c r="C59" s="28">
        <f t="shared" si="51"/>
        <v>2801.25</v>
      </c>
      <c r="D59" s="28">
        <f t="shared" si="52"/>
        <v>33926.25</v>
      </c>
      <c r="E59" s="373" t="s">
        <v>272</v>
      </c>
      <c r="F59" s="79">
        <v>1</v>
      </c>
      <c r="G59" s="80">
        <f t="shared" si="43"/>
        <v>0</v>
      </c>
      <c r="H59" s="81">
        <f t="shared" ref="H59:H61" si="56">1-G59-F59</f>
        <v>0</v>
      </c>
      <c r="I59" s="22">
        <f>F59*B59</f>
        <v>31125</v>
      </c>
      <c r="J59" s="130">
        <f>F59*C59</f>
        <v>2801.25</v>
      </c>
      <c r="K59" s="131">
        <f t="shared" si="53"/>
        <v>33926.25</v>
      </c>
      <c r="L59" s="22">
        <f>G59*B59</f>
        <v>0</v>
      </c>
      <c r="M59" s="24">
        <f>G59*C59</f>
        <v>0</v>
      </c>
      <c r="N59" s="23">
        <f t="shared" si="54"/>
        <v>0</v>
      </c>
      <c r="O59" s="22">
        <f>H59*B59</f>
        <v>0</v>
      </c>
      <c r="P59" s="24">
        <f>H59*C59</f>
        <v>0</v>
      </c>
      <c r="Q59" s="23">
        <f t="shared" si="55"/>
        <v>0</v>
      </c>
      <c r="R59" s="152"/>
    </row>
    <row r="60" spans="1:18" s="12" customFormat="1" ht="30" x14ac:dyDescent="0.25">
      <c r="A60" s="17" t="s">
        <v>48</v>
      </c>
      <c r="B60" s="18">
        <v>10000</v>
      </c>
      <c r="C60" s="28">
        <f t="shared" si="51"/>
        <v>900</v>
      </c>
      <c r="D60" s="28">
        <f t="shared" si="52"/>
        <v>10900</v>
      </c>
      <c r="E60" s="373" t="s">
        <v>272</v>
      </c>
      <c r="F60" s="79">
        <v>1</v>
      </c>
      <c r="G60" s="80">
        <f t="shared" si="43"/>
        <v>0</v>
      </c>
      <c r="H60" s="81">
        <f t="shared" si="56"/>
        <v>0</v>
      </c>
      <c r="I60" s="22">
        <f>F60*B60</f>
        <v>10000</v>
      </c>
      <c r="J60" s="130">
        <f>F60*C60</f>
        <v>900</v>
      </c>
      <c r="K60" s="131">
        <f t="shared" si="53"/>
        <v>10900</v>
      </c>
      <c r="L60" s="22">
        <f>G60*B60</f>
        <v>0</v>
      </c>
      <c r="M60" s="24">
        <f>G60*C60</f>
        <v>0</v>
      </c>
      <c r="N60" s="23">
        <f t="shared" si="54"/>
        <v>0</v>
      </c>
      <c r="O60" s="22">
        <f>H60*B60</f>
        <v>0</v>
      </c>
      <c r="P60" s="24">
        <f>H60*C60</f>
        <v>0</v>
      </c>
      <c r="Q60" s="23">
        <f t="shared" si="55"/>
        <v>0</v>
      </c>
      <c r="R60" s="152"/>
    </row>
    <row r="61" spans="1:18" s="12" customFormat="1" ht="30" x14ac:dyDescent="0.25">
      <c r="A61" s="17" t="s">
        <v>49</v>
      </c>
      <c r="B61" s="18">
        <v>0</v>
      </c>
      <c r="C61" s="28">
        <f t="shared" si="51"/>
        <v>0</v>
      </c>
      <c r="D61" s="28">
        <f t="shared" si="52"/>
        <v>0</v>
      </c>
      <c r="E61" s="373" t="s">
        <v>272</v>
      </c>
      <c r="F61" s="79">
        <v>1</v>
      </c>
      <c r="G61" s="80">
        <f t="shared" si="43"/>
        <v>0</v>
      </c>
      <c r="H61" s="81">
        <f t="shared" si="56"/>
        <v>0</v>
      </c>
      <c r="I61" s="22">
        <f>F61*B61</f>
        <v>0</v>
      </c>
      <c r="J61" s="130">
        <f>F61*C61</f>
        <v>0</v>
      </c>
      <c r="K61" s="131">
        <f t="shared" si="53"/>
        <v>0</v>
      </c>
      <c r="L61" s="22">
        <f>G61*B61</f>
        <v>0</v>
      </c>
      <c r="M61" s="24">
        <f>G61*C61</f>
        <v>0</v>
      </c>
      <c r="N61" s="23">
        <f t="shared" si="54"/>
        <v>0</v>
      </c>
      <c r="O61" s="22">
        <f>H61*B61</f>
        <v>0</v>
      </c>
      <c r="P61" s="24">
        <f>H61*C61</f>
        <v>0</v>
      </c>
      <c r="Q61" s="23">
        <f t="shared" si="55"/>
        <v>0</v>
      </c>
      <c r="R61" s="152"/>
    </row>
    <row r="62" spans="1:18" s="12" customFormat="1" x14ac:dyDescent="0.25">
      <c r="B62" s="13"/>
      <c r="C62" s="13"/>
      <c r="D62" s="13"/>
      <c r="E62" s="27"/>
      <c r="F62" s="14"/>
      <c r="G62" s="77"/>
      <c r="H62" s="77"/>
      <c r="I62" s="53"/>
      <c r="J62" s="83"/>
      <c r="K62" s="65"/>
      <c r="L62" s="53"/>
      <c r="M62" s="27"/>
      <c r="N62" s="54"/>
      <c r="O62" s="53"/>
      <c r="P62" s="27"/>
      <c r="Q62" s="65"/>
      <c r="R62" s="152"/>
    </row>
    <row r="63" spans="1:18" s="99" customFormat="1" x14ac:dyDescent="0.25">
      <c r="A63" s="99" t="s">
        <v>30</v>
      </c>
      <c r="B63" s="100">
        <f>SUM(B64:B64)</f>
        <v>939</v>
      </c>
      <c r="C63" s="100">
        <f>B63*0.09</f>
        <v>84.509999999999991</v>
      </c>
      <c r="D63" s="100">
        <f>C63+B63</f>
        <v>1023.51</v>
      </c>
      <c r="E63" s="110"/>
      <c r="F63" s="14">
        <f>AVERAGE(F64)</f>
        <v>1</v>
      </c>
      <c r="G63" s="14">
        <f>AVERAGE(G64)</f>
        <v>0</v>
      </c>
      <c r="H63" s="14">
        <f>1-G63-F63</f>
        <v>0</v>
      </c>
      <c r="I63" s="117">
        <f>SUM(I64)</f>
        <v>939</v>
      </c>
      <c r="J63" s="118">
        <f>SUM(J64)</f>
        <v>84.509999999999991</v>
      </c>
      <c r="K63" s="109">
        <f>J63+I63</f>
        <v>1023.51</v>
      </c>
      <c r="L63" s="117">
        <f>SUM(L64)</f>
        <v>0</v>
      </c>
      <c r="M63" s="119">
        <f>SUM(M64)</f>
        <v>0</v>
      </c>
      <c r="N63" s="109">
        <f>M63+L63</f>
        <v>0</v>
      </c>
      <c r="O63" s="101">
        <f>SUM(O64)</f>
        <v>0</v>
      </c>
      <c r="P63" s="6">
        <f>SUM(P64)</f>
        <v>0</v>
      </c>
      <c r="Q63" s="109">
        <f>P63+O63</f>
        <v>0</v>
      </c>
      <c r="R63" s="146"/>
    </row>
    <row r="64" spans="1:18" ht="30" x14ac:dyDescent="0.25">
      <c r="A64" s="17" t="s">
        <v>50</v>
      </c>
      <c r="B64" s="18">
        <v>939</v>
      </c>
      <c r="C64" s="28">
        <f t="shared" ref="C64" si="57">B64*0.09</f>
        <v>84.509999999999991</v>
      </c>
      <c r="D64" s="28">
        <f t="shared" ref="D64" si="58">C64+B64</f>
        <v>1023.51</v>
      </c>
      <c r="E64" s="373" t="s">
        <v>272</v>
      </c>
      <c r="F64" s="19">
        <v>1</v>
      </c>
      <c r="G64" s="80">
        <f t="shared" si="43"/>
        <v>0</v>
      </c>
      <c r="H64" s="81">
        <f t="shared" ref="H64" si="59">1-G64-F64</f>
        <v>0</v>
      </c>
      <c r="I64" s="22">
        <f>F64*B64</f>
        <v>939</v>
      </c>
      <c r="J64" s="130">
        <f>F64*C64</f>
        <v>84.509999999999991</v>
      </c>
      <c r="K64" s="131">
        <f t="shared" ref="K64" si="60">J64+I64</f>
        <v>1023.51</v>
      </c>
      <c r="L64" s="22">
        <f>G64*B64</f>
        <v>0</v>
      </c>
      <c r="M64" s="24">
        <f>G64*C64</f>
        <v>0</v>
      </c>
      <c r="N64" s="23">
        <f t="shared" ref="N64" si="61">M64+L64</f>
        <v>0</v>
      </c>
      <c r="O64" s="22">
        <f>H64*B64</f>
        <v>0</v>
      </c>
      <c r="P64" s="24">
        <f>H64*C64</f>
        <v>0</v>
      </c>
      <c r="Q64" s="23">
        <f t="shared" ref="Q64" si="62">P64+O64</f>
        <v>0</v>
      </c>
    </row>
    <row r="65" spans="1:19" s="35" customFormat="1" x14ac:dyDescent="0.25">
      <c r="A65" s="33"/>
      <c r="B65" s="28"/>
      <c r="C65" s="28"/>
      <c r="D65" s="28"/>
      <c r="E65" s="16"/>
      <c r="F65" s="29"/>
      <c r="G65" s="77"/>
      <c r="H65" s="77"/>
      <c r="I65" s="53"/>
      <c r="J65" s="34"/>
      <c r="K65" s="32"/>
      <c r="L65" s="53"/>
      <c r="M65" s="16"/>
      <c r="N65" s="60"/>
      <c r="O65" s="53"/>
      <c r="P65" s="16"/>
      <c r="Q65" s="32"/>
      <c r="R65" s="147"/>
    </row>
    <row r="66" spans="1:19" s="99" customFormat="1" ht="30" x14ac:dyDescent="0.25">
      <c r="A66" s="106" t="s">
        <v>35</v>
      </c>
      <c r="B66" s="100">
        <v>0</v>
      </c>
      <c r="C66" s="100">
        <f>B66*0.09</f>
        <v>0</v>
      </c>
      <c r="D66" s="100">
        <f>C66+B66</f>
        <v>0</v>
      </c>
      <c r="E66" s="373" t="s">
        <v>272</v>
      </c>
      <c r="F66" s="14">
        <v>1</v>
      </c>
      <c r="G66" s="77">
        <f t="shared" si="43"/>
        <v>0</v>
      </c>
      <c r="H66" s="14">
        <f>1-G66-F66</f>
        <v>0</v>
      </c>
      <c r="I66" s="117">
        <f>F66*B66</f>
        <v>0</v>
      </c>
      <c r="J66" s="118">
        <f>F66*C66</f>
        <v>0</v>
      </c>
      <c r="K66" s="109">
        <f>J66+I66</f>
        <v>0</v>
      </c>
      <c r="L66" s="117">
        <f>G66*B66</f>
        <v>0</v>
      </c>
      <c r="M66" s="119">
        <f>G66*C66</f>
        <v>0</v>
      </c>
      <c r="N66" s="109">
        <f>M66+L66</f>
        <v>0</v>
      </c>
      <c r="O66" s="101">
        <f>B66*H66</f>
        <v>0</v>
      </c>
      <c r="P66" s="6">
        <f>C66*H66</f>
        <v>0</v>
      </c>
      <c r="Q66" s="109">
        <f>P66+O66</f>
        <v>0</v>
      </c>
      <c r="R66" s="146"/>
    </row>
    <row r="67" spans="1:19" s="84" customFormat="1" x14ac:dyDescent="0.25">
      <c r="B67" s="85"/>
      <c r="C67" s="85"/>
      <c r="D67" s="85"/>
      <c r="E67" s="90"/>
      <c r="F67" s="86"/>
      <c r="G67" s="87"/>
      <c r="H67" s="87"/>
      <c r="I67" s="88"/>
      <c r="J67" s="125"/>
      <c r="K67" s="73"/>
      <c r="L67" s="88"/>
      <c r="M67" s="127"/>
      <c r="N67" s="140"/>
      <c r="O67" s="88"/>
      <c r="P67" s="90"/>
      <c r="Q67" s="212"/>
      <c r="R67" s="213"/>
      <c r="S67" s="213"/>
    </row>
    <row r="68" spans="1:19" s="111" customFormat="1" x14ac:dyDescent="0.25">
      <c r="A68" s="111" t="s">
        <v>51</v>
      </c>
      <c r="B68" s="112">
        <f>SUM(B69:B73)</f>
        <v>6096</v>
      </c>
      <c r="C68" s="112">
        <f>B68*0.09</f>
        <v>548.64</v>
      </c>
      <c r="D68" s="112">
        <f>B68+C68</f>
        <v>6644.64</v>
      </c>
      <c r="E68" s="375"/>
      <c r="F68" s="47">
        <f>AVERAGE(F69:F73)</f>
        <v>0</v>
      </c>
      <c r="G68" s="47">
        <f t="shared" ref="G68:H68" si="63">AVERAGE(G69:G73)</f>
        <v>0</v>
      </c>
      <c r="H68" s="47">
        <f t="shared" si="63"/>
        <v>1</v>
      </c>
      <c r="I68" s="113">
        <f>SUM(I69:I73)</f>
        <v>0</v>
      </c>
      <c r="J68" s="126">
        <f>SUM(J69:J73)</f>
        <v>0</v>
      </c>
      <c r="K68" s="114">
        <f t="shared" ref="K68:K73" si="64">J68+I68</f>
        <v>0</v>
      </c>
      <c r="L68" s="113">
        <f>SUM(L69:L73)</f>
        <v>0</v>
      </c>
      <c r="M68" s="126">
        <f>SUM(M69:M73)</f>
        <v>0</v>
      </c>
      <c r="N68" s="114">
        <f t="shared" ref="N68:N73" si="65">M68+L68</f>
        <v>0</v>
      </c>
      <c r="O68" s="113">
        <f>SUM(O69:O73)</f>
        <v>6096</v>
      </c>
      <c r="P68" s="113">
        <f>SUM(P69:P73)</f>
        <v>548.64</v>
      </c>
      <c r="Q68" s="114">
        <f t="shared" ref="Q68:Q73" si="66">P68+O68</f>
        <v>6644.64</v>
      </c>
      <c r="R68" s="148"/>
    </row>
    <row r="69" spans="1:19" s="120" customFormat="1" x14ac:dyDescent="0.25">
      <c r="A69" s="120" t="s">
        <v>52</v>
      </c>
      <c r="B69" s="116">
        <v>2000</v>
      </c>
      <c r="C69" s="116">
        <f>B69*0.09</f>
        <v>180</v>
      </c>
      <c r="D69" s="116">
        <f>C69+B69</f>
        <v>2180</v>
      </c>
      <c r="E69" s="119" t="s">
        <v>149</v>
      </c>
      <c r="F69" s="75">
        <v>0</v>
      </c>
      <c r="G69" s="76">
        <v>0</v>
      </c>
      <c r="H69" s="77">
        <f>1-G69-F69</f>
        <v>1</v>
      </c>
      <c r="I69" s="117">
        <f>F69*B69</f>
        <v>0</v>
      </c>
      <c r="J69" s="118">
        <f>F69*C69</f>
        <v>0</v>
      </c>
      <c r="K69" s="121">
        <f t="shared" si="64"/>
        <v>0</v>
      </c>
      <c r="L69" s="117">
        <f>G69*B69</f>
        <v>0</v>
      </c>
      <c r="M69" s="119">
        <f>G69*C69</f>
        <v>0</v>
      </c>
      <c r="N69" s="121">
        <f t="shared" si="65"/>
        <v>0</v>
      </c>
      <c r="O69" s="101">
        <f>B69*H69</f>
        <v>2000</v>
      </c>
      <c r="P69" s="6">
        <f>C69*H69</f>
        <v>180</v>
      </c>
      <c r="Q69" s="121">
        <f t="shared" si="66"/>
        <v>2180</v>
      </c>
      <c r="R69" s="149"/>
    </row>
    <row r="70" spans="1:19" s="106" customFormat="1" x14ac:dyDescent="0.25">
      <c r="A70" s="106" t="s">
        <v>15</v>
      </c>
      <c r="B70" s="122">
        <v>1790</v>
      </c>
      <c r="C70" s="122">
        <f t="shared" ref="C70:C73" si="67">B70*0.09</f>
        <v>161.1</v>
      </c>
      <c r="D70" s="122">
        <f t="shared" ref="D70:D73" si="68">C70+B70</f>
        <v>1951.1</v>
      </c>
      <c r="E70" s="119" t="s">
        <v>149</v>
      </c>
      <c r="F70" s="51">
        <v>0</v>
      </c>
      <c r="G70" s="76">
        <v>0</v>
      </c>
      <c r="H70" s="77">
        <f t="shared" ref="H70:H73" si="69">1-G70-F70</f>
        <v>1</v>
      </c>
      <c r="I70" s="117">
        <f>F70*B70</f>
        <v>0</v>
      </c>
      <c r="J70" s="118">
        <f>F70*C70</f>
        <v>0</v>
      </c>
      <c r="K70" s="121">
        <f t="shared" si="64"/>
        <v>0</v>
      </c>
      <c r="L70" s="117">
        <f>G70*B70</f>
        <v>0</v>
      </c>
      <c r="M70" s="119">
        <f>G70*C70</f>
        <v>0</v>
      </c>
      <c r="N70" s="121">
        <f t="shared" si="65"/>
        <v>0</v>
      </c>
      <c r="O70" s="101">
        <f>B70*H70</f>
        <v>1790</v>
      </c>
      <c r="P70" s="6">
        <f>C70*H70</f>
        <v>161.1</v>
      </c>
      <c r="Q70" s="121">
        <f t="shared" si="66"/>
        <v>1951.1</v>
      </c>
      <c r="R70" s="153"/>
    </row>
    <row r="71" spans="1:19" s="106" customFormat="1" x14ac:dyDescent="0.25">
      <c r="A71" s="106" t="s">
        <v>37</v>
      </c>
      <c r="B71" s="122">
        <v>2055</v>
      </c>
      <c r="C71" s="122">
        <f t="shared" si="67"/>
        <v>184.95</v>
      </c>
      <c r="D71" s="122">
        <f t="shared" si="68"/>
        <v>2239.9499999999998</v>
      </c>
      <c r="E71" s="119" t="s">
        <v>149</v>
      </c>
      <c r="F71" s="51">
        <v>0</v>
      </c>
      <c r="G71" s="76">
        <v>0</v>
      </c>
      <c r="H71" s="77">
        <f t="shared" si="69"/>
        <v>1</v>
      </c>
      <c r="I71" s="117">
        <f>F71*B71</f>
        <v>0</v>
      </c>
      <c r="J71" s="118">
        <f>F71*C71</f>
        <v>0</v>
      </c>
      <c r="K71" s="121">
        <f t="shared" si="64"/>
        <v>0</v>
      </c>
      <c r="L71" s="117">
        <f>G71*B71</f>
        <v>0</v>
      </c>
      <c r="M71" s="119">
        <f>G71*C71</f>
        <v>0</v>
      </c>
      <c r="N71" s="121">
        <f t="shared" si="65"/>
        <v>0</v>
      </c>
      <c r="O71" s="101">
        <f>B71*H71</f>
        <v>2055</v>
      </c>
      <c r="P71" s="6">
        <f>C71*H71</f>
        <v>184.95</v>
      </c>
      <c r="Q71" s="121">
        <f t="shared" si="66"/>
        <v>2239.9499999999998</v>
      </c>
      <c r="R71" s="153"/>
    </row>
    <row r="72" spans="1:19" s="106" customFormat="1" x14ac:dyDescent="0.25">
      <c r="A72" s="106" t="s">
        <v>53</v>
      </c>
      <c r="B72" s="122">
        <v>251</v>
      </c>
      <c r="C72" s="122">
        <f t="shared" si="67"/>
        <v>22.59</v>
      </c>
      <c r="D72" s="122">
        <f t="shared" si="68"/>
        <v>273.58999999999997</v>
      </c>
      <c r="E72" s="119" t="s">
        <v>149</v>
      </c>
      <c r="F72" s="51">
        <v>0</v>
      </c>
      <c r="G72" s="76">
        <v>0</v>
      </c>
      <c r="H72" s="77">
        <f t="shared" si="69"/>
        <v>1</v>
      </c>
      <c r="I72" s="117">
        <f>F72*B72</f>
        <v>0</v>
      </c>
      <c r="J72" s="118">
        <f>F72*C72</f>
        <v>0</v>
      </c>
      <c r="K72" s="121">
        <f t="shared" si="64"/>
        <v>0</v>
      </c>
      <c r="L72" s="117">
        <f>G72*B72</f>
        <v>0</v>
      </c>
      <c r="M72" s="119">
        <f>G72*C72</f>
        <v>0</v>
      </c>
      <c r="N72" s="121">
        <f t="shared" si="65"/>
        <v>0</v>
      </c>
      <c r="O72" s="101">
        <f>B72*H72</f>
        <v>251</v>
      </c>
      <c r="P72" s="6">
        <f>C72*H72</f>
        <v>22.59</v>
      </c>
      <c r="Q72" s="121">
        <f t="shared" si="66"/>
        <v>273.58999999999997</v>
      </c>
      <c r="R72" s="153"/>
    </row>
    <row r="73" spans="1:19" s="106" customFormat="1" x14ac:dyDescent="0.25">
      <c r="A73" s="106" t="s">
        <v>54</v>
      </c>
      <c r="B73" s="122">
        <v>0</v>
      </c>
      <c r="C73" s="122">
        <f t="shared" si="67"/>
        <v>0</v>
      </c>
      <c r="D73" s="122">
        <f t="shared" si="68"/>
        <v>0</v>
      </c>
      <c r="E73" s="119" t="s">
        <v>149</v>
      </c>
      <c r="F73" s="51">
        <v>0</v>
      </c>
      <c r="G73" s="76">
        <v>0</v>
      </c>
      <c r="H73" s="77">
        <f t="shared" si="69"/>
        <v>1</v>
      </c>
      <c r="I73" s="117">
        <f>F73*B73</f>
        <v>0</v>
      </c>
      <c r="J73" s="118">
        <f>F73*C73</f>
        <v>0</v>
      </c>
      <c r="K73" s="121">
        <f t="shared" si="64"/>
        <v>0</v>
      </c>
      <c r="L73" s="117">
        <f>I73*D73</f>
        <v>0</v>
      </c>
      <c r="M73" s="119">
        <f>G73*C73</f>
        <v>0</v>
      </c>
      <c r="N73" s="121">
        <f t="shared" si="65"/>
        <v>0</v>
      </c>
      <c r="O73" s="101">
        <f>B73*H73</f>
        <v>0</v>
      </c>
      <c r="P73" s="6">
        <f>C73*H73</f>
        <v>0</v>
      </c>
      <c r="Q73" s="121">
        <f t="shared" si="66"/>
        <v>0</v>
      </c>
      <c r="R73" s="153"/>
    </row>
    <row r="74" spans="1:19" s="84" customFormat="1" x14ac:dyDescent="0.25">
      <c r="A74" s="92"/>
      <c r="B74" s="37"/>
      <c r="C74" s="93"/>
      <c r="D74" s="93"/>
      <c r="E74" s="43"/>
      <c r="F74" s="86"/>
      <c r="G74" s="87"/>
      <c r="H74" s="87"/>
      <c r="I74" s="88"/>
      <c r="J74" s="89"/>
      <c r="K74" s="73"/>
      <c r="L74" s="88"/>
      <c r="M74" s="90"/>
      <c r="N74" s="140"/>
      <c r="O74" s="88"/>
      <c r="P74" s="90"/>
      <c r="Q74" s="212"/>
      <c r="R74" s="213"/>
      <c r="S74" s="213"/>
    </row>
    <row r="75" spans="1:19" s="111" customFormat="1" x14ac:dyDescent="0.25">
      <c r="A75" s="111" t="s">
        <v>55</v>
      </c>
      <c r="B75" s="112">
        <f>SUM(B76,B81,B83,B91,B93)</f>
        <v>484730</v>
      </c>
      <c r="C75" s="112">
        <f>B75*0.09</f>
        <v>43625.7</v>
      </c>
      <c r="D75" s="112">
        <f>B75+C75</f>
        <v>528355.69999999995</v>
      </c>
      <c r="E75" s="375"/>
      <c r="F75" s="47">
        <f>AVERAGE(F77:F79,F81,F84:F89,F91,F93)</f>
        <v>0</v>
      </c>
      <c r="G75" s="47">
        <f t="shared" ref="G75:H75" si="70">AVERAGE(G77:G79,G81,G84:G89,G91,G93)</f>
        <v>0.91666666666666663</v>
      </c>
      <c r="H75" s="47">
        <f t="shared" si="70"/>
        <v>0</v>
      </c>
      <c r="I75" s="113">
        <f>SUM(I76,I81,I83,I91,I93)</f>
        <v>0</v>
      </c>
      <c r="J75" s="114">
        <f t="shared" ref="J75:M75" si="71">SUM(J76,J81,J83,J91,J93)</f>
        <v>0</v>
      </c>
      <c r="K75" s="114">
        <f>J75+I75</f>
        <v>0</v>
      </c>
      <c r="L75" s="113">
        <f>SUM(L76,L81,L83,L91,L93)</f>
        <v>484730</v>
      </c>
      <c r="M75" s="114">
        <f t="shared" si="71"/>
        <v>43625.7</v>
      </c>
      <c r="N75" s="114">
        <f>M75+L75</f>
        <v>528355.69999999995</v>
      </c>
      <c r="O75" s="113">
        <f>SUM(O76,O81,O83,O91,O93)</f>
        <v>0</v>
      </c>
      <c r="P75" s="114">
        <f t="shared" ref="P75" si="72">SUM(P76,P81,P83,P91,P93)</f>
        <v>0</v>
      </c>
      <c r="Q75" s="114">
        <f>P75+O75</f>
        <v>0</v>
      </c>
      <c r="R75" s="148"/>
    </row>
    <row r="76" spans="1:19" s="120" customFormat="1" x14ac:dyDescent="0.25">
      <c r="A76" s="120" t="s">
        <v>10</v>
      </c>
      <c r="B76" s="116">
        <f>SUM(B77:B79)</f>
        <v>104000</v>
      </c>
      <c r="C76" s="116">
        <f t="shared" ref="C76:D76" si="73">SUM(C77:C79)</f>
        <v>9360</v>
      </c>
      <c r="D76" s="116">
        <f t="shared" si="73"/>
        <v>113360</v>
      </c>
      <c r="E76" s="119"/>
      <c r="F76" s="78">
        <f>AVERAGE(F77:F79)</f>
        <v>0</v>
      </c>
      <c r="G76" s="77">
        <v>1</v>
      </c>
      <c r="H76" s="14">
        <f>1-G76-F76</f>
        <v>0</v>
      </c>
      <c r="I76" s="117">
        <f>SUM(I77:I79)</f>
        <v>0</v>
      </c>
      <c r="J76" s="118">
        <f>SUM(J77:J79)</f>
        <v>0</v>
      </c>
      <c r="K76" s="121">
        <f>J76+I76</f>
        <v>0</v>
      </c>
      <c r="L76" s="117">
        <f>SUM(L77:L79)</f>
        <v>104000</v>
      </c>
      <c r="M76" s="119">
        <f>SUM(M77:M79)</f>
        <v>9360</v>
      </c>
      <c r="N76" s="121">
        <f>M76+L76</f>
        <v>113360</v>
      </c>
      <c r="O76" s="101">
        <f>SUM(O77:O79)</f>
        <v>0</v>
      </c>
      <c r="P76" s="6">
        <f>SUM(P77:P79)</f>
        <v>0</v>
      </c>
      <c r="Q76" s="121">
        <f>P76+O76</f>
        <v>0</v>
      </c>
      <c r="R76" s="149"/>
    </row>
    <row r="77" spans="1:19" s="12" customFormat="1" ht="30" x14ac:dyDescent="0.25">
      <c r="A77" s="17" t="s">
        <v>56</v>
      </c>
      <c r="B77" s="18">
        <v>70000</v>
      </c>
      <c r="C77" s="28">
        <f t="shared" ref="C77:C79" si="74">B77*0.09</f>
        <v>6300</v>
      </c>
      <c r="D77" s="28">
        <f t="shared" ref="D77:D79" si="75">C77+B77</f>
        <v>76300</v>
      </c>
      <c r="E77" s="373" t="s">
        <v>272</v>
      </c>
      <c r="F77" s="79">
        <v>0</v>
      </c>
      <c r="G77" s="80">
        <v>1</v>
      </c>
      <c r="H77" s="81">
        <f t="shared" ref="H77:H81" si="76">1-G77-F77</f>
        <v>0</v>
      </c>
      <c r="I77" s="82">
        <f>F77*B77</f>
        <v>0</v>
      </c>
      <c r="J77" s="132">
        <f>F77*C77</f>
        <v>0</v>
      </c>
      <c r="K77" s="23">
        <f t="shared" ref="K77:K79" si="77">J77+I77</f>
        <v>0</v>
      </c>
      <c r="L77" s="22">
        <f>G77*B77</f>
        <v>70000</v>
      </c>
      <c r="M77" s="24">
        <f>G77*C77</f>
        <v>6300</v>
      </c>
      <c r="N77" s="23">
        <f t="shared" ref="N77:N79" si="78">M77+L77</f>
        <v>76300</v>
      </c>
      <c r="O77" s="22">
        <f>H77*B77</f>
        <v>0</v>
      </c>
      <c r="P77" s="24">
        <f>H77*C77</f>
        <v>0</v>
      </c>
      <c r="Q77" s="23">
        <f t="shared" ref="Q77:Q79" si="79">P77+O77</f>
        <v>0</v>
      </c>
      <c r="R77" s="152"/>
    </row>
    <row r="78" spans="1:19" s="12" customFormat="1" ht="30" x14ac:dyDescent="0.25">
      <c r="A78" s="17" t="s">
        <v>57</v>
      </c>
      <c r="B78" s="18">
        <v>27000</v>
      </c>
      <c r="C78" s="28">
        <f t="shared" si="74"/>
        <v>2430</v>
      </c>
      <c r="D78" s="28">
        <f t="shared" si="75"/>
        <v>29430</v>
      </c>
      <c r="E78" s="373" t="s">
        <v>272</v>
      </c>
      <c r="F78" s="79">
        <v>0</v>
      </c>
      <c r="G78" s="80">
        <v>1</v>
      </c>
      <c r="H78" s="81">
        <f t="shared" si="76"/>
        <v>0</v>
      </c>
      <c r="I78" s="82">
        <f>F78*B78</f>
        <v>0</v>
      </c>
      <c r="J78" s="132">
        <f>F78*C78</f>
        <v>0</v>
      </c>
      <c r="K78" s="23">
        <f t="shared" si="77"/>
        <v>0</v>
      </c>
      <c r="L78" s="22">
        <f>G78*B78</f>
        <v>27000</v>
      </c>
      <c r="M78" s="24">
        <f>G78*C78</f>
        <v>2430</v>
      </c>
      <c r="N78" s="23">
        <f t="shared" si="78"/>
        <v>29430</v>
      </c>
      <c r="O78" s="22">
        <f>H78*B78</f>
        <v>0</v>
      </c>
      <c r="P78" s="24">
        <f>H78*C78</f>
        <v>0</v>
      </c>
      <c r="Q78" s="23">
        <f t="shared" si="79"/>
        <v>0</v>
      </c>
      <c r="R78" s="152"/>
    </row>
    <row r="79" spans="1:19" s="12" customFormat="1" ht="30" x14ac:dyDescent="0.25">
      <c r="A79" s="17" t="s">
        <v>58</v>
      </c>
      <c r="B79" s="18">
        <v>7000</v>
      </c>
      <c r="C79" s="28">
        <f t="shared" si="74"/>
        <v>630</v>
      </c>
      <c r="D79" s="28">
        <f t="shared" si="75"/>
        <v>7630</v>
      </c>
      <c r="E79" s="373" t="s">
        <v>272</v>
      </c>
      <c r="F79" s="79">
        <v>0</v>
      </c>
      <c r="G79" s="80">
        <v>1</v>
      </c>
      <c r="H79" s="81">
        <f t="shared" si="76"/>
        <v>0</v>
      </c>
      <c r="I79" s="82">
        <f>F79*B79</f>
        <v>0</v>
      </c>
      <c r="J79" s="132">
        <f>F79*C79</f>
        <v>0</v>
      </c>
      <c r="K79" s="23">
        <f t="shared" si="77"/>
        <v>0</v>
      </c>
      <c r="L79" s="22">
        <f>G79*B79</f>
        <v>7000</v>
      </c>
      <c r="M79" s="24">
        <f>G79*C79</f>
        <v>630</v>
      </c>
      <c r="N79" s="23">
        <f t="shared" si="78"/>
        <v>7630</v>
      </c>
      <c r="O79" s="22">
        <f>H79*B79</f>
        <v>0</v>
      </c>
      <c r="P79" s="24">
        <f>H79*C79</f>
        <v>0</v>
      </c>
      <c r="Q79" s="23">
        <f t="shared" si="79"/>
        <v>0</v>
      </c>
      <c r="R79" s="152"/>
    </row>
    <row r="80" spans="1:19" s="12" customFormat="1" x14ac:dyDescent="0.25">
      <c r="B80" s="13"/>
      <c r="C80" s="13"/>
      <c r="D80" s="13"/>
      <c r="E80" s="27"/>
      <c r="F80" s="14"/>
      <c r="G80" s="77"/>
      <c r="H80" s="77"/>
      <c r="I80" s="53"/>
      <c r="J80" s="83"/>
      <c r="K80" s="65"/>
      <c r="L80" s="53"/>
      <c r="M80" s="27"/>
      <c r="N80" s="54"/>
      <c r="O80" s="53"/>
      <c r="P80" s="27"/>
      <c r="Q80" s="65"/>
      <c r="R80" s="152"/>
    </row>
    <row r="81" spans="1:19" s="120" customFormat="1" ht="30" x14ac:dyDescent="0.25">
      <c r="A81" s="120" t="s">
        <v>15</v>
      </c>
      <c r="B81" s="116">
        <v>1000</v>
      </c>
      <c r="C81" s="116">
        <f>B81*0.09</f>
        <v>90</v>
      </c>
      <c r="D81" s="116">
        <f>C81+B81</f>
        <v>1090</v>
      </c>
      <c r="E81" s="373" t="s">
        <v>272</v>
      </c>
      <c r="F81" s="75">
        <v>0</v>
      </c>
      <c r="G81" s="76">
        <v>1</v>
      </c>
      <c r="H81" s="77">
        <f t="shared" si="76"/>
        <v>0</v>
      </c>
      <c r="I81" s="117">
        <f>F81*B81</f>
        <v>0</v>
      </c>
      <c r="J81" s="118">
        <f>F81*C81</f>
        <v>0</v>
      </c>
      <c r="K81" s="121">
        <f t="shared" ref="K81:K89" si="80">J81+I81</f>
        <v>0</v>
      </c>
      <c r="L81" s="117">
        <f>G81*B81</f>
        <v>1000</v>
      </c>
      <c r="M81" s="119">
        <f>G81*C81</f>
        <v>90</v>
      </c>
      <c r="N81" s="121">
        <f t="shared" ref="N81:N89" si="81">M81+L81</f>
        <v>1090</v>
      </c>
      <c r="O81" s="101">
        <f>B81*H81</f>
        <v>0</v>
      </c>
      <c r="P81" s="6">
        <f>C81*H81</f>
        <v>0</v>
      </c>
      <c r="Q81" s="121">
        <f t="shared" ref="Q81" si="82">P81+O81</f>
        <v>0</v>
      </c>
      <c r="R81" s="149"/>
    </row>
    <row r="82" spans="1:19" s="12" customFormat="1" x14ac:dyDescent="0.25">
      <c r="A82" s="17"/>
      <c r="B82" s="18"/>
      <c r="C82" s="28"/>
      <c r="D82" s="28"/>
      <c r="E82" s="16"/>
      <c r="F82" s="14"/>
      <c r="G82" s="77"/>
      <c r="H82" s="77"/>
      <c r="I82" s="53"/>
      <c r="J82" s="83"/>
      <c r="K82" s="91"/>
      <c r="L82" s="53"/>
      <c r="M82" s="27"/>
      <c r="N82" s="91"/>
      <c r="O82" s="53"/>
      <c r="P82" s="27"/>
      <c r="Q82" s="91"/>
      <c r="R82" s="152"/>
    </row>
    <row r="83" spans="1:19" s="120" customFormat="1" x14ac:dyDescent="0.25">
      <c r="A83" s="120" t="s">
        <v>37</v>
      </c>
      <c r="B83" s="116">
        <f>SUM(B84:B87,B89)</f>
        <v>379730</v>
      </c>
      <c r="C83" s="116">
        <f>B83*0.09</f>
        <v>34175.699999999997</v>
      </c>
      <c r="D83" s="116">
        <f>SUM(B83:C83)</f>
        <v>413905.7</v>
      </c>
      <c r="E83" s="119"/>
      <c r="F83" s="78">
        <f>AVERAGE(F84:F89)</f>
        <v>0</v>
      </c>
      <c r="G83" s="77">
        <v>1</v>
      </c>
      <c r="H83" s="78">
        <f>AVERAGE(H84:H89)</f>
        <v>0</v>
      </c>
      <c r="I83" s="117">
        <f>SUM(I84:I89)</f>
        <v>0</v>
      </c>
      <c r="J83" s="118">
        <f>SUM(J84:J89)</f>
        <v>0</v>
      </c>
      <c r="K83" s="121">
        <f t="shared" si="80"/>
        <v>0</v>
      </c>
      <c r="L83" s="117">
        <f>SUM(L84:L89)</f>
        <v>379730</v>
      </c>
      <c r="M83" s="119">
        <f>SUM(M84:M89)</f>
        <v>34175.699999999997</v>
      </c>
      <c r="N83" s="121">
        <f t="shared" si="81"/>
        <v>413905.7</v>
      </c>
      <c r="O83" s="101">
        <f>SUM(O84:O89)</f>
        <v>0</v>
      </c>
      <c r="P83" s="6">
        <f>SUM(P84:P89)</f>
        <v>0</v>
      </c>
      <c r="Q83" s="121">
        <f t="shared" ref="Q83:Q89" si="83">P83+O83</f>
        <v>0</v>
      </c>
      <c r="R83" s="149"/>
    </row>
    <row r="84" spans="1:19" s="12" customFormat="1" ht="30" x14ac:dyDescent="0.25">
      <c r="A84" s="17" t="s">
        <v>59</v>
      </c>
      <c r="B84" s="18">
        <v>131630</v>
      </c>
      <c r="C84" s="28">
        <f t="shared" ref="C84:C89" si="84">B84*0.09</f>
        <v>11846.699999999999</v>
      </c>
      <c r="D84" s="28">
        <f t="shared" ref="D84:D89" si="85">C84+B84</f>
        <v>143476.70000000001</v>
      </c>
      <c r="E84" s="373" t="s">
        <v>272</v>
      </c>
      <c r="F84" s="79">
        <v>0</v>
      </c>
      <c r="G84" s="80">
        <v>1</v>
      </c>
      <c r="H84" s="81">
        <f t="shared" ref="H84:H93" si="86">1-G84-F84</f>
        <v>0</v>
      </c>
      <c r="I84" s="82">
        <f t="shared" ref="I84:I89" si="87">F84*B84</f>
        <v>0</v>
      </c>
      <c r="J84" s="132">
        <f t="shared" ref="J84:J89" si="88">F84*C84</f>
        <v>0</v>
      </c>
      <c r="K84" s="23">
        <f t="shared" si="80"/>
        <v>0</v>
      </c>
      <c r="L84" s="22">
        <f t="shared" ref="L84:L89" si="89">G84*B84</f>
        <v>131630</v>
      </c>
      <c r="M84" s="24">
        <f t="shared" ref="M84:M89" si="90">G84*C84</f>
        <v>11846.699999999999</v>
      </c>
      <c r="N84" s="23">
        <f t="shared" si="81"/>
        <v>143476.70000000001</v>
      </c>
      <c r="O84" s="22">
        <f t="shared" ref="O84:O89" si="91">H84*B84</f>
        <v>0</v>
      </c>
      <c r="P84" s="24">
        <f t="shared" ref="P84:P89" si="92">H84*C84</f>
        <v>0</v>
      </c>
      <c r="Q84" s="23">
        <f t="shared" si="83"/>
        <v>0</v>
      </c>
      <c r="R84" s="152"/>
    </row>
    <row r="85" spans="1:19" s="12" customFormat="1" ht="30" x14ac:dyDescent="0.25">
      <c r="A85" s="17" t="s">
        <v>60</v>
      </c>
      <c r="B85" s="18">
        <v>69000</v>
      </c>
      <c r="C85" s="28">
        <f t="shared" si="84"/>
        <v>6210</v>
      </c>
      <c r="D85" s="28">
        <f t="shared" si="85"/>
        <v>75210</v>
      </c>
      <c r="E85" s="373" t="s">
        <v>272</v>
      </c>
      <c r="F85" s="79">
        <v>0</v>
      </c>
      <c r="G85" s="80">
        <v>1</v>
      </c>
      <c r="H85" s="81">
        <f t="shared" si="86"/>
        <v>0</v>
      </c>
      <c r="I85" s="82">
        <f t="shared" si="87"/>
        <v>0</v>
      </c>
      <c r="J85" s="132">
        <f t="shared" si="88"/>
        <v>0</v>
      </c>
      <c r="K85" s="23">
        <f t="shared" si="80"/>
        <v>0</v>
      </c>
      <c r="L85" s="22">
        <f t="shared" si="89"/>
        <v>69000</v>
      </c>
      <c r="M85" s="24">
        <f t="shared" si="90"/>
        <v>6210</v>
      </c>
      <c r="N85" s="23">
        <f t="shared" si="81"/>
        <v>75210</v>
      </c>
      <c r="O85" s="22">
        <f t="shared" si="91"/>
        <v>0</v>
      </c>
      <c r="P85" s="24">
        <f t="shared" si="92"/>
        <v>0</v>
      </c>
      <c r="Q85" s="23">
        <f t="shared" si="83"/>
        <v>0</v>
      </c>
      <c r="R85" s="152"/>
    </row>
    <row r="86" spans="1:19" s="12" customFormat="1" ht="30" x14ac:dyDescent="0.25">
      <c r="A86" s="17" t="s">
        <v>61</v>
      </c>
      <c r="B86" s="18">
        <v>3000</v>
      </c>
      <c r="C86" s="28">
        <f t="shared" si="84"/>
        <v>270</v>
      </c>
      <c r="D86" s="28">
        <f t="shared" si="85"/>
        <v>3270</v>
      </c>
      <c r="E86" s="373" t="s">
        <v>272</v>
      </c>
      <c r="F86" s="79">
        <v>0</v>
      </c>
      <c r="G86" s="80">
        <v>1</v>
      </c>
      <c r="H86" s="81">
        <f t="shared" si="86"/>
        <v>0</v>
      </c>
      <c r="I86" s="82">
        <f t="shared" si="87"/>
        <v>0</v>
      </c>
      <c r="J86" s="132">
        <f t="shared" si="88"/>
        <v>0</v>
      </c>
      <c r="K86" s="23">
        <f t="shared" si="80"/>
        <v>0</v>
      </c>
      <c r="L86" s="22">
        <f t="shared" si="89"/>
        <v>3000</v>
      </c>
      <c r="M86" s="24">
        <f t="shared" si="90"/>
        <v>270</v>
      </c>
      <c r="N86" s="23">
        <f t="shared" si="81"/>
        <v>3270</v>
      </c>
      <c r="O86" s="22">
        <f t="shared" si="91"/>
        <v>0</v>
      </c>
      <c r="P86" s="24">
        <f t="shared" si="92"/>
        <v>0</v>
      </c>
      <c r="Q86" s="23">
        <f t="shared" si="83"/>
        <v>0</v>
      </c>
      <c r="R86" s="152"/>
    </row>
    <row r="87" spans="1:19" s="12" customFormat="1" ht="30" x14ac:dyDescent="0.25">
      <c r="A87" s="17" t="s">
        <v>62</v>
      </c>
      <c r="B87" s="18">
        <v>10000</v>
      </c>
      <c r="C87" s="28">
        <f t="shared" si="84"/>
        <v>900</v>
      </c>
      <c r="D87" s="28">
        <f t="shared" si="85"/>
        <v>10900</v>
      </c>
      <c r="E87" s="373" t="s">
        <v>272</v>
      </c>
      <c r="F87" s="79">
        <v>0</v>
      </c>
      <c r="G87" s="80">
        <v>1</v>
      </c>
      <c r="H87" s="81">
        <f t="shared" si="86"/>
        <v>0</v>
      </c>
      <c r="I87" s="82">
        <f t="shared" si="87"/>
        <v>0</v>
      </c>
      <c r="J87" s="132">
        <f t="shared" si="88"/>
        <v>0</v>
      </c>
      <c r="K87" s="23">
        <f t="shared" si="80"/>
        <v>0</v>
      </c>
      <c r="L87" s="22">
        <f t="shared" si="89"/>
        <v>10000</v>
      </c>
      <c r="M87" s="24">
        <f t="shared" si="90"/>
        <v>900</v>
      </c>
      <c r="N87" s="23">
        <f t="shared" si="81"/>
        <v>10900</v>
      </c>
      <c r="O87" s="22">
        <f t="shared" si="91"/>
        <v>0</v>
      </c>
      <c r="P87" s="24">
        <f t="shared" si="92"/>
        <v>0</v>
      </c>
      <c r="Q87" s="23">
        <f t="shared" si="83"/>
        <v>0</v>
      </c>
      <c r="R87" s="152"/>
    </row>
    <row r="88" spans="1:19" s="12" customFormat="1" ht="30" x14ac:dyDescent="0.25">
      <c r="A88" s="236" t="s">
        <v>63</v>
      </c>
      <c r="B88" s="18">
        <v>242660</v>
      </c>
      <c r="C88" s="28">
        <f t="shared" si="84"/>
        <v>21839.399999999998</v>
      </c>
      <c r="D88" s="28">
        <f t="shared" si="85"/>
        <v>264499.40000000002</v>
      </c>
      <c r="E88" s="373" t="s">
        <v>272</v>
      </c>
      <c r="F88" s="79">
        <v>0</v>
      </c>
      <c r="G88" s="80">
        <v>0</v>
      </c>
      <c r="H88" s="81">
        <v>0</v>
      </c>
      <c r="I88" s="82">
        <f t="shared" si="87"/>
        <v>0</v>
      </c>
      <c r="J88" s="132">
        <f t="shared" si="88"/>
        <v>0</v>
      </c>
      <c r="K88" s="23">
        <f t="shared" si="80"/>
        <v>0</v>
      </c>
      <c r="L88" s="22">
        <f t="shared" si="89"/>
        <v>0</v>
      </c>
      <c r="M88" s="24">
        <f t="shared" si="90"/>
        <v>0</v>
      </c>
      <c r="N88" s="23">
        <f t="shared" si="81"/>
        <v>0</v>
      </c>
      <c r="O88" s="22">
        <f t="shared" si="91"/>
        <v>0</v>
      </c>
      <c r="P88" s="24">
        <f t="shared" si="92"/>
        <v>0</v>
      </c>
      <c r="Q88" s="23">
        <f t="shared" si="83"/>
        <v>0</v>
      </c>
      <c r="R88" s="152"/>
    </row>
    <row r="89" spans="1:19" s="12" customFormat="1" ht="30" x14ac:dyDescent="0.25">
      <c r="A89" s="17" t="s">
        <v>64</v>
      </c>
      <c r="B89" s="18">
        <v>166100</v>
      </c>
      <c r="C89" s="28">
        <f t="shared" si="84"/>
        <v>14949</v>
      </c>
      <c r="D89" s="28">
        <f t="shared" si="85"/>
        <v>181049</v>
      </c>
      <c r="E89" s="373" t="s">
        <v>272</v>
      </c>
      <c r="F89" s="79">
        <v>0</v>
      </c>
      <c r="G89" s="80">
        <v>1</v>
      </c>
      <c r="H89" s="81">
        <f t="shared" si="86"/>
        <v>0</v>
      </c>
      <c r="I89" s="82">
        <f t="shared" si="87"/>
        <v>0</v>
      </c>
      <c r="J89" s="132">
        <f t="shared" si="88"/>
        <v>0</v>
      </c>
      <c r="K89" s="23">
        <f t="shared" si="80"/>
        <v>0</v>
      </c>
      <c r="L89" s="22">
        <f t="shared" si="89"/>
        <v>166100</v>
      </c>
      <c r="M89" s="24">
        <f t="shared" si="90"/>
        <v>14949</v>
      </c>
      <c r="N89" s="23">
        <f t="shared" si="81"/>
        <v>181049</v>
      </c>
      <c r="O89" s="22">
        <f t="shared" si="91"/>
        <v>0</v>
      </c>
      <c r="P89" s="24">
        <f t="shared" si="92"/>
        <v>0</v>
      </c>
      <c r="Q89" s="23">
        <f t="shared" si="83"/>
        <v>0</v>
      </c>
      <c r="R89" s="152"/>
    </row>
    <row r="90" spans="1:19" s="12" customFormat="1" x14ac:dyDescent="0.25">
      <c r="B90" s="13"/>
      <c r="C90" s="13"/>
      <c r="D90" s="13"/>
      <c r="E90" s="27"/>
      <c r="F90" s="14"/>
      <c r="G90" s="77"/>
      <c r="H90" s="77"/>
      <c r="I90" s="53"/>
      <c r="J90" s="83"/>
      <c r="K90" s="65"/>
      <c r="L90" s="53"/>
      <c r="M90" s="27"/>
      <c r="N90" s="54"/>
      <c r="O90" s="53"/>
      <c r="P90" s="27"/>
      <c r="Q90" s="65"/>
      <c r="R90" s="152"/>
    </row>
    <row r="91" spans="1:19" s="99" customFormat="1" ht="30" x14ac:dyDescent="0.25">
      <c r="A91" s="99" t="s">
        <v>30</v>
      </c>
      <c r="B91" s="100">
        <v>0</v>
      </c>
      <c r="C91" s="100">
        <f>B91*0.09</f>
        <v>0</v>
      </c>
      <c r="D91" s="100">
        <f>C91+B91</f>
        <v>0</v>
      </c>
      <c r="E91" s="373" t="s">
        <v>272</v>
      </c>
      <c r="F91" s="51">
        <v>0</v>
      </c>
      <c r="G91" s="76">
        <v>1</v>
      </c>
      <c r="H91" s="77">
        <f t="shared" si="86"/>
        <v>0</v>
      </c>
      <c r="I91" s="117">
        <f>F91*B91</f>
        <v>0</v>
      </c>
      <c r="J91" s="118">
        <f>F91*C91</f>
        <v>0</v>
      </c>
      <c r="K91" s="109">
        <f t="shared" ref="K91" si="93">J91+I91</f>
        <v>0</v>
      </c>
      <c r="L91" s="117">
        <f>G91*B91</f>
        <v>0</v>
      </c>
      <c r="M91" s="119">
        <f>G91*C91</f>
        <v>0</v>
      </c>
      <c r="N91" s="109">
        <f t="shared" ref="N91" si="94">M91+L91</f>
        <v>0</v>
      </c>
      <c r="O91" s="101">
        <f>B91*H91</f>
        <v>0</v>
      </c>
      <c r="P91" s="6">
        <f>C91*H91</f>
        <v>0</v>
      </c>
      <c r="Q91" s="109">
        <f t="shared" ref="Q91" si="95">P91+O91</f>
        <v>0</v>
      </c>
      <c r="R91" s="146"/>
    </row>
    <row r="92" spans="1:19" s="35" customFormat="1" x14ac:dyDescent="0.25">
      <c r="A92" s="33"/>
      <c r="B92" s="28"/>
      <c r="C92" s="28"/>
      <c r="D92" s="28"/>
      <c r="E92" s="16"/>
      <c r="F92" s="29"/>
      <c r="G92" s="77"/>
      <c r="H92" s="77"/>
      <c r="I92" s="59"/>
      <c r="J92" s="34"/>
      <c r="K92" s="32"/>
      <c r="L92" s="53"/>
      <c r="M92" s="16"/>
      <c r="N92" s="60"/>
      <c r="O92" s="53"/>
      <c r="P92" s="16"/>
      <c r="Q92" s="32"/>
      <c r="R92" s="147"/>
    </row>
    <row r="93" spans="1:19" s="99" customFormat="1" ht="30" x14ac:dyDescent="0.25">
      <c r="A93" s="106" t="s">
        <v>35</v>
      </c>
      <c r="B93" s="100">
        <v>0</v>
      </c>
      <c r="C93" s="100">
        <f>B93*0.09</f>
        <v>0</v>
      </c>
      <c r="D93" s="100">
        <f>C93+B93</f>
        <v>0</v>
      </c>
      <c r="E93" s="373" t="s">
        <v>272</v>
      </c>
      <c r="F93" s="51">
        <v>0</v>
      </c>
      <c r="G93" s="76">
        <v>1</v>
      </c>
      <c r="H93" s="77">
        <f t="shared" si="86"/>
        <v>0</v>
      </c>
      <c r="I93" s="117">
        <f>F93*B93</f>
        <v>0</v>
      </c>
      <c r="J93" s="118">
        <f>F93*C93</f>
        <v>0</v>
      </c>
      <c r="K93" s="109">
        <f t="shared" ref="K93" si="96">J93+I93</f>
        <v>0</v>
      </c>
      <c r="L93" s="117">
        <f>G93*B93</f>
        <v>0</v>
      </c>
      <c r="M93" s="119">
        <f>G93*C93</f>
        <v>0</v>
      </c>
      <c r="N93" s="109">
        <f t="shared" ref="N93" si="97">M93+L93</f>
        <v>0</v>
      </c>
      <c r="O93" s="101">
        <f>B93*H93</f>
        <v>0</v>
      </c>
      <c r="P93" s="6">
        <f>C93*H93</f>
        <v>0</v>
      </c>
      <c r="Q93" s="109">
        <f t="shared" ref="Q93" si="98">P93+O93</f>
        <v>0</v>
      </c>
      <c r="R93" s="146"/>
    </row>
    <row r="94" spans="1:19" s="84" customFormat="1" x14ac:dyDescent="0.25">
      <c r="A94" s="92"/>
      <c r="B94" s="37"/>
      <c r="C94" s="93"/>
      <c r="D94" s="93"/>
      <c r="E94" s="43"/>
      <c r="F94" s="86"/>
      <c r="G94" s="87"/>
      <c r="H94" s="87"/>
      <c r="I94" s="88"/>
      <c r="J94" s="89"/>
      <c r="K94" s="73"/>
      <c r="L94" s="88"/>
      <c r="M94" s="90"/>
      <c r="N94" s="140"/>
      <c r="O94" s="88"/>
      <c r="P94" s="90"/>
      <c r="Q94" s="212"/>
      <c r="R94" s="213"/>
      <c r="S94" s="213"/>
    </row>
    <row r="95" spans="1:19" s="45" customFormat="1" x14ac:dyDescent="0.25">
      <c r="A95" s="45" t="s">
        <v>65</v>
      </c>
      <c r="B95" s="46">
        <f>SUM(B96,B104,B107,B109,B111)</f>
        <v>239472</v>
      </c>
      <c r="C95" s="46">
        <f>B95*0.09</f>
        <v>21552.48</v>
      </c>
      <c r="D95" s="46">
        <f>C95+B95</f>
        <v>261024.48</v>
      </c>
      <c r="E95" s="66"/>
      <c r="F95" s="47">
        <f>AVERAGE(F97:F102,F105,F107,F109,F111)</f>
        <v>0.21800000000000003</v>
      </c>
      <c r="G95" s="47">
        <f t="shared" ref="G95:H95" si="99">AVERAGE(G97:G102,G105,G107,G109,G111)</f>
        <v>7.6999999999999999E-2</v>
      </c>
      <c r="H95" s="47">
        <f t="shared" si="99"/>
        <v>0.70499999999999996</v>
      </c>
      <c r="I95" s="49">
        <f>SUM(I96,I104,I107,I109,I111)</f>
        <v>77040</v>
      </c>
      <c r="J95" s="50">
        <f t="shared" ref="J95:M95" si="100">SUM(J96,J104,J107,J109,J111)</f>
        <v>6933.6</v>
      </c>
      <c r="K95" s="50">
        <f t="shared" ref="K95:K102" si="101">J95+I95</f>
        <v>83973.6</v>
      </c>
      <c r="L95" s="49">
        <f>SUM(L96,L104,L107,L109,L111)</f>
        <v>21560</v>
      </c>
      <c r="M95" s="50">
        <f t="shared" si="100"/>
        <v>1940.4</v>
      </c>
      <c r="N95" s="50">
        <f t="shared" ref="N95:N102" si="102">M95+L95</f>
        <v>23500.400000000001</v>
      </c>
      <c r="O95" s="49">
        <f>SUM(O96,O104,O107,O109,O111)</f>
        <v>140872</v>
      </c>
      <c r="P95" s="50">
        <f t="shared" ref="P95" si="103">SUM(P96,P104,P107,P109,P111)</f>
        <v>12678.48</v>
      </c>
      <c r="Q95" s="50">
        <f t="shared" ref="Q95:Q102" si="104">P95+O95</f>
        <v>153550.48000000001</v>
      </c>
      <c r="R95" s="151"/>
    </row>
    <row r="96" spans="1:19" s="120" customFormat="1" x14ac:dyDescent="0.25">
      <c r="A96" s="120" t="s">
        <v>10</v>
      </c>
      <c r="B96" s="116">
        <f>SUM(B97:B102)</f>
        <v>237972</v>
      </c>
      <c r="C96" s="116">
        <f t="shared" ref="C96:D96" si="105">SUM(C97:C102)</f>
        <v>21417.48</v>
      </c>
      <c r="D96" s="116">
        <f t="shared" si="105"/>
        <v>259389.47999999998</v>
      </c>
      <c r="E96" s="119"/>
      <c r="F96" s="78">
        <f>AVERAGE(F97:F102)</f>
        <v>0.36333333333333334</v>
      </c>
      <c r="G96" s="78">
        <f>AVERAGE(G97:G102)</f>
        <v>0.12833333333333333</v>
      </c>
      <c r="H96" s="78">
        <f>AVERAGE(H97:H102)</f>
        <v>0.5083333333333333</v>
      </c>
      <c r="I96" s="117">
        <f>SUM(I97:I102)</f>
        <v>77040</v>
      </c>
      <c r="J96" s="118">
        <f>SUM(J97:J102)</f>
        <v>6933.6</v>
      </c>
      <c r="K96" s="121">
        <f t="shared" si="101"/>
        <v>83973.6</v>
      </c>
      <c r="L96" s="117">
        <f>SUM(L97:L102)</f>
        <v>21560</v>
      </c>
      <c r="M96" s="119">
        <f>SUM(M97:M102)</f>
        <v>1940.4</v>
      </c>
      <c r="N96" s="121">
        <f t="shared" si="102"/>
        <v>23500.400000000001</v>
      </c>
      <c r="O96" s="101">
        <f>SUM(O97:O102)</f>
        <v>139372</v>
      </c>
      <c r="P96" s="6">
        <f>SUM(P97:P102)</f>
        <v>12543.48</v>
      </c>
      <c r="Q96" s="121">
        <f t="shared" si="104"/>
        <v>151915.48000000001</v>
      </c>
      <c r="R96" s="149"/>
    </row>
    <row r="97" spans="1:19" s="12" customFormat="1" x14ac:dyDescent="0.25">
      <c r="A97" s="17" t="s">
        <v>66</v>
      </c>
      <c r="B97" s="18">
        <v>56972</v>
      </c>
      <c r="C97" s="28">
        <f t="shared" ref="C97:C102" si="106">B97*0.09</f>
        <v>5127.4799999999996</v>
      </c>
      <c r="D97" s="28">
        <f t="shared" ref="D97:D102" si="107">C97+B97</f>
        <v>62099.479999999996</v>
      </c>
      <c r="E97" s="373" t="s">
        <v>149</v>
      </c>
      <c r="F97" s="79">
        <v>0</v>
      </c>
      <c r="G97" s="94">
        <v>0</v>
      </c>
      <c r="H97" s="95">
        <f>1-G97-F97</f>
        <v>1</v>
      </c>
      <c r="I97" s="82">
        <f t="shared" ref="I97:I102" si="108">F97*B97</f>
        <v>0</v>
      </c>
      <c r="J97" s="132">
        <f t="shared" ref="J97:J102" si="109">F97*C97</f>
        <v>0</v>
      </c>
      <c r="K97" s="23">
        <f t="shared" si="101"/>
        <v>0</v>
      </c>
      <c r="L97" s="22">
        <f t="shared" ref="L97:L102" si="110">G97*B97</f>
        <v>0</v>
      </c>
      <c r="M97" s="24">
        <f t="shared" ref="M97:M102" si="111">G97*C97</f>
        <v>0</v>
      </c>
      <c r="N97" s="23">
        <f t="shared" si="102"/>
        <v>0</v>
      </c>
      <c r="O97" s="22">
        <f t="shared" ref="O97:O102" si="112">H97*B97</f>
        <v>56972</v>
      </c>
      <c r="P97" s="24">
        <f t="shared" ref="P97:P102" si="113">H97*C97</f>
        <v>5127.4799999999996</v>
      </c>
      <c r="Q97" s="23">
        <f t="shared" si="104"/>
        <v>62099.479999999996</v>
      </c>
      <c r="R97" s="152"/>
    </row>
    <row r="98" spans="1:19" s="12" customFormat="1" x14ac:dyDescent="0.25">
      <c r="A98" s="17" t="s">
        <v>67</v>
      </c>
      <c r="B98" s="18">
        <v>6000</v>
      </c>
      <c r="C98" s="28">
        <f t="shared" si="106"/>
        <v>540</v>
      </c>
      <c r="D98" s="28">
        <f t="shared" si="107"/>
        <v>6540</v>
      </c>
      <c r="E98" s="373" t="s">
        <v>149</v>
      </c>
      <c r="F98" s="79">
        <v>0</v>
      </c>
      <c r="G98" s="94">
        <v>0</v>
      </c>
      <c r="H98" s="95">
        <f t="shared" ref="H98:H102" si="114">1-G98-F98</f>
        <v>1</v>
      </c>
      <c r="I98" s="82">
        <f t="shared" si="108"/>
        <v>0</v>
      </c>
      <c r="J98" s="132">
        <f t="shared" si="109"/>
        <v>0</v>
      </c>
      <c r="K98" s="23">
        <f t="shared" si="101"/>
        <v>0</v>
      </c>
      <c r="L98" s="22">
        <f t="shared" si="110"/>
        <v>0</v>
      </c>
      <c r="M98" s="24">
        <f t="shared" si="111"/>
        <v>0</v>
      </c>
      <c r="N98" s="23">
        <f t="shared" si="102"/>
        <v>0</v>
      </c>
      <c r="O98" s="22">
        <f t="shared" si="112"/>
        <v>6000</v>
      </c>
      <c r="P98" s="24">
        <f t="shared" si="113"/>
        <v>540</v>
      </c>
      <c r="Q98" s="23">
        <f t="shared" si="104"/>
        <v>6540</v>
      </c>
      <c r="R98" s="152"/>
    </row>
    <row r="99" spans="1:19" s="12" customFormat="1" ht="30" x14ac:dyDescent="0.25">
      <c r="A99" s="17" t="s">
        <v>68</v>
      </c>
      <c r="B99" s="18">
        <v>36000</v>
      </c>
      <c r="C99" s="28">
        <f t="shared" si="106"/>
        <v>3240</v>
      </c>
      <c r="D99" s="28">
        <f t="shared" si="107"/>
        <v>39240</v>
      </c>
      <c r="E99" s="373" t="s">
        <v>272</v>
      </c>
      <c r="F99" s="79">
        <v>1</v>
      </c>
      <c r="G99" s="94">
        <v>0</v>
      </c>
      <c r="H99" s="95">
        <f t="shared" si="114"/>
        <v>0</v>
      </c>
      <c r="I99" s="82">
        <f t="shared" si="108"/>
        <v>36000</v>
      </c>
      <c r="J99" s="132">
        <f t="shared" si="109"/>
        <v>3240</v>
      </c>
      <c r="K99" s="23">
        <f t="shared" si="101"/>
        <v>39240</v>
      </c>
      <c r="L99" s="22">
        <f t="shared" si="110"/>
        <v>0</v>
      </c>
      <c r="M99" s="24">
        <f t="shared" si="111"/>
        <v>0</v>
      </c>
      <c r="N99" s="23">
        <f t="shared" si="102"/>
        <v>0</v>
      </c>
      <c r="O99" s="22">
        <f t="shared" si="112"/>
        <v>0</v>
      </c>
      <c r="P99" s="24">
        <f t="shared" si="113"/>
        <v>0</v>
      </c>
      <c r="Q99" s="23">
        <f t="shared" si="104"/>
        <v>0</v>
      </c>
      <c r="R99" s="152"/>
    </row>
    <row r="100" spans="1:19" s="12" customFormat="1" ht="30" x14ac:dyDescent="0.25">
      <c r="A100" s="17" t="s">
        <v>69</v>
      </c>
      <c r="B100" s="18">
        <v>36000</v>
      </c>
      <c r="C100" s="28">
        <f t="shared" si="106"/>
        <v>3240</v>
      </c>
      <c r="D100" s="28">
        <f t="shared" si="107"/>
        <v>39240</v>
      </c>
      <c r="E100" s="373" t="s">
        <v>272</v>
      </c>
      <c r="F100" s="79">
        <v>1</v>
      </c>
      <c r="G100" s="94">
        <v>0</v>
      </c>
      <c r="H100" s="95">
        <f t="shared" si="114"/>
        <v>0</v>
      </c>
      <c r="I100" s="82">
        <f t="shared" si="108"/>
        <v>36000</v>
      </c>
      <c r="J100" s="132">
        <f t="shared" si="109"/>
        <v>3240</v>
      </c>
      <c r="K100" s="23">
        <f t="shared" si="101"/>
        <v>39240</v>
      </c>
      <c r="L100" s="22">
        <f t="shared" si="110"/>
        <v>0</v>
      </c>
      <c r="M100" s="24">
        <f t="shared" si="111"/>
        <v>0</v>
      </c>
      <c r="N100" s="23">
        <f t="shared" si="102"/>
        <v>0</v>
      </c>
      <c r="O100" s="22">
        <f t="shared" si="112"/>
        <v>0</v>
      </c>
      <c r="P100" s="24">
        <f t="shared" si="113"/>
        <v>0</v>
      </c>
      <c r="Q100" s="23">
        <f t="shared" si="104"/>
        <v>0</v>
      </c>
      <c r="R100" s="152"/>
    </row>
    <row r="101" spans="1:19" s="12" customFormat="1" x14ac:dyDescent="0.25">
      <c r="A101" s="17" t="s">
        <v>70</v>
      </c>
      <c r="B101" s="18">
        <v>75000</v>
      </c>
      <c r="C101" s="28">
        <f t="shared" si="106"/>
        <v>6750</v>
      </c>
      <c r="D101" s="28">
        <f t="shared" si="107"/>
        <v>81750</v>
      </c>
      <c r="E101" s="373" t="s">
        <v>149</v>
      </c>
      <c r="F101" s="79">
        <v>0</v>
      </c>
      <c r="G101" s="94">
        <v>0</v>
      </c>
      <c r="H101" s="95">
        <f t="shared" si="114"/>
        <v>1</v>
      </c>
      <c r="I101" s="82">
        <f t="shared" si="108"/>
        <v>0</v>
      </c>
      <c r="J101" s="132">
        <f t="shared" si="109"/>
        <v>0</v>
      </c>
      <c r="K101" s="23">
        <f t="shared" si="101"/>
        <v>0</v>
      </c>
      <c r="L101" s="22">
        <f t="shared" si="110"/>
        <v>0</v>
      </c>
      <c r="M101" s="24">
        <f t="shared" si="111"/>
        <v>0</v>
      </c>
      <c r="N101" s="23">
        <f t="shared" si="102"/>
        <v>0</v>
      </c>
      <c r="O101" s="22">
        <f t="shared" si="112"/>
        <v>75000</v>
      </c>
      <c r="P101" s="24">
        <f t="shared" si="113"/>
        <v>6750</v>
      </c>
      <c r="Q101" s="23">
        <f t="shared" si="104"/>
        <v>81750</v>
      </c>
      <c r="R101" s="152"/>
    </row>
    <row r="102" spans="1:19" s="12" customFormat="1" ht="30" x14ac:dyDescent="0.25">
      <c r="A102" s="17" t="s">
        <v>71</v>
      </c>
      <c r="B102" s="18">
        <v>28000</v>
      </c>
      <c r="C102" s="28">
        <f t="shared" si="106"/>
        <v>2520</v>
      </c>
      <c r="D102" s="28">
        <f t="shared" si="107"/>
        <v>30520</v>
      </c>
      <c r="E102" s="373" t="s">
        <v>272</v>
      </c>
      <c r="F102" s="79">
        <v>0.18</v>
      </c>
      <c r="G102" s="94">
        <v>0.77</v>
      </c>
      <c r="H102" s="95">
        <f t="shared" si="114"/>
        <v>4.9999999999999989E-2</v>
      </c>
      <c r="I102" s="82">
        <f t="shared" si="108"/>
        <v>5040</v>
      </c>
      <c r="J102" s="132">
        <f t="shared" si="109"/>
        <v>453.59999999999997</v>
      </c>
      <c r="K102" s="23">
        <f t="shared" si="101"/>
        <v>5493.6</v>
      </c>
      <c r="L102" s="22">
        <f t="shared" si="110"/>
        <v>21560</v>
      </c>
      <c r="M102" s="24">
        <f t="shared" si="111"/>
        <v>1940.4</v>
      </c>
      <c r="N102" s="23">
        <f t="shared" si="102"/>
        <v>23500.400000000001</v>
      </c>
      <c r="O102" s="22">
        <f t="shared" si="112"/>
        <v>1399.9999999999998</v>
      </c>
      <c r="P102" s="24">
        <f t="shared" si="113"/>
        <v>125.99999999999997</v>
      </c>
      <c r="Q102" s="23">
        <f t="shared" si="104"/>
        <v>1525.9999999999998</v>
      </c>
      <c r="R102" s="152"/>
    </row>
    <row r="103" spans="1:19" s="12" customFormat="1" x14ac:dyDescent="0.25">
      <c r="B103" s="13"/>
      <c r="C103" s="13"/>
      <c r="D103" s="13"/>
      <c r="E103" s="27"/>
      <c r="F103" s="14"/>
      <c r="G103" s="25"/>
      <c r="H103" s="25"/>
      <c r="I103" s="26"/>
      <c r="J103" s="83"/>
      <c r="K103" s="65"/>
      <c r="L103" s="26"/>
      <c r="M103" s="27"/>
      <c r="N103" s="54"/>
      <c r="O103" s="26"/>
      <c r="P103" s="27"/>
      <c r="Q103" s="65"/>
      <c r="R103" s="152"/>
    </row>
    <row r="104" spans="1:19" s="120" customFormat="1" x14ac:dyDescent="0.25">
      <c r="A104" s="120" t="s">
        <v>15</v>
      </c>
      <c r="B104" s="116">
        <f>B105</f>
        <v>1500</v>
      </c>
      <c r="C104" s="116">
        <f>B104*0.09</f>
        <v>135</v>
      </c>
      <c r="D104" s="116">
        <f>C104+B104</f>
        <v>1635</v>
      </c>
      <c r="E104" s="119"/>
      <c r="F104" s="78">
        <f>AVERAGE(F105)</f>
        <v>0</v>
      </c>
      <c r="G104" s="78">
        <f>AVERAGE(G105)</f>
        <v>0</v>
      </c>
      <c r="H104" s="78">
        <f>AVERAGE(H105)</f>
        <v>1</v>
      </c>
      <c r="I104" s="117">
        <f>F104*B104</f>
        <v>0</v>
      </c>
      <c r="J104" s="118">
        <f>F104*C104</f>
        <v>0</v>
      </c>
      <c r="K104" s="109">
        <f t="shared" ref="K104:K105" si="115">J104+I104</f>
        <v>0</v>
      </c>
      <c r="L104" s="117">
        <f>SUM(L105)</f>
        <v>0</v>
      </c>
      <c r="M104" s="119">
        <f>SUM(M105)</f>
        <v>0</v>
      </c>
      <c r="N104" s="109">
        <f t="shared" ref="N104:N105" si="116">M104+L104</f>
        <v>0</v>
      </c>
      <c r="O104" s="101">
        <f>SUM(O105)</f>
        <v>1500</v>
      </c>
      <c r="P104" s="6">
        <f>SUM(P105)</f>
        <v>135</v>
      </c>
      <c r="Q104" s="109">
        <f t="shared" ref="Q104:Q105" si="117">P104+O104</f>
        <v>1635</v>
      </c>
      <c r="R104" s="149"/>
    </row>
    <row r="105" spans="1:19" s="12" customFormat="1" x14ac:dyDescent="0.25">
      <c r="A105" s="17" t="s">
        <v>70</v>
      </c>
      <c r="B105" s="18">
        <v>1500</v>
      </c>
      <c r="C105" s="28">
        <f t="shared" ref="C105" si="118">B105*0.09</f>
        <v>135</v>
      </c>
      <c r="D105" s="28">
        <f t="shared" ref="D105" si="119">C105+B105</f>
        <v>1635</v>
      </c>
      <c r="E105" s="373" t="s">
        <v>149</v>
      </c>
      <c r="F105" s="79">
        <v>0</v>
      </c>
      <c r="G105" s="94">
        <v>0</v>
      </c>
      <c r="H105" s="95">
        <f>1-G105-F105</f>
        <v>1</v>
      </c>
      <c r="I105" s="82">
        <f>F105*B105</f>
        <v>0</v>
      </c>
      <c r="J105" s="132">
        <f>F105*C105</f>
        <v>0</v>
      </c>
      <c r="K105" s="23">
        <f t="shared" si="115"/>
        <v>0</v>
      </c>
      <c r="L105" s="22">
        <f>G105*B105</f>
        <v>0</v>
      </c>
      <c r="M105" s="24">
        <f>G105*C105</f>
        <v>0</v>
      </c>
      <c r="N105" s="23">
        <f t="shared" si="116"/>
        <v>0</v>
      </c>
      <c r="O105" s="22">
        <f>H105*B105</f>
        <v>1500</v>
      </c>
      <c r="P105" s="24">
        <f>H105*C105</f>
        <v>135</v>
      </c>
      <c r="Q105" s="23">
        <f t="shared" si="117"/>
        <v>1635</v>
      </c>
      <c r="R105" s="152"/>
    </row>
    <row r="106" spans="1:19" s="12" customFormat="1" x14ac:dyDescent="0.25">
      <c r="A106" s="17"/>
      <c r="B106" s="18"/>
      <c r="C106" s="28"/>
      <c r="D106" s="28"/>
      <c r="E106" s="16"/>
      <c r="F106" s="14"/>
      <c r="G106" s="25"/>
      <c r="H106" s="25"/>
      <c r="I106" s="26"/>
      <c r="J106" s="83"/>
      <c r="K106" s="65"/>
      <c r="L106" s="26"/>
      <c r="M106" s="27"/>
      <c r="N106" s="54"/>
      <c r="O106" s="26"/>
      <c r="P106" s="27"/>
      <c r="Q106" s="65"/>
      <c r="R106" s="152"/>
    </row>
    <row r="107" spans="1:19" s="120" customFormat="1" x14ac:dyDescent="0.25">
      <c r="A107" s="120" t="s">
        <v>37</v>
      </c>
      <c r="B107" s="116">
        <v>0</v>
      </c>
      <c r="C107" s="116">
        <f>B107*0.09</f>
        <v>0</v>
      </c>
      <c r="D107" s="116">
        <f>SUM(B107:C107)</f>
        <v>0</v>
      </c>
      <c r="E107" s="373" t="s">
        <v>149</v>
      </c>
      <c r="F107" s="51">
        <v>0</v>
      </c>
      <c r="G107" s="52">
        <v>0</v>
      </c>
      <c r="H107" s="25">
        <f>1-G107-F107</f>
        <v>1</v>
      </c>
      <c r="I107" s="117">
        <f>F107*B107</f>
        <v>0</v>
      </c>
      <c r="J107" s="118">
        <f>F107*C107</f>
        <v>0</v>
      </c>
      <c r="K107" s="109">
        <f t="shared" ref="K107" si="120">J107+I107</f>
        <v>0</v>
      </c>
      <c r="L107" s="117">
        <f>G107*B107</f>
        <v>0</v>
      </c>
      <c r="M107" s="119">
        <f>G107*C107</f>
        <v>0</v>
      </c>
      <c r="N107" s="109">
        <f t="shared" ref="N107" si="121">M107+L107</f>
        <v>0</v>
      </c>
      <c r="O107" s="101">
        <f>B107*H107</f>
        <v>0</v>
      </c>
      <c r="P107" s="6">
        <f>C107*H107</f>
        <v>0</v>
      </c>
      <c r="Q107" s="109">
        <f t="shared" ref="Q107" si="122">P107+O107</f>
        <v>0</v>
      </c>
      <c r="R107" s="149"/>
    </row>
    <row r="108" spans="1:19" s="12" customFormat="1" x14ac:dyDescent="0.25">
      <c r="B108" s="13"/>
      <c r="C108" s="13"/>
      <c r="D108" s="13"/>
      <c r="E108" s="27"/>
      <c r="F108" s="14"/>
      <c r="G108" s="25"/>
      <c r="H108" s="25"/>
      <c r="I108" s="26"/>
      <c r="J108" s="83"/>
      <c r="K108" s="65"/>
      <c r="L108" s="26"/>
      <c r="M108" s="27"/>
      <c r="N108" s="54"/>
      <c r="O108" s="26"/>
      <c r="P108" s="27"/>
      <c r="Q108" s="65"/>
      <c r="R108" s="152"/>
    </row>
    <row r="109" spans="1:19" s="99" customFormat="1" x14ac:dyDescent="0.25">
      <c r="A109" s="99" t="s">
        <v>30</v>
      </c>
      <c r="B109" s="100">
        <v>0</v>
      </c>
      <c r="C109" s="100">
        <f>B109*0.09</f>
        <v>0</v>
      </c>
      <c r="D109" s="100">
        <f>C109+B109</f>
        <v>0</v>
      </c>
      <c r="E109" s="373" t="s">
        <v>149</v>
      </c>
      <c r="F109" s="51">
        <v>0</v>
      </c>
      <c r="G109" s="52">
        <v>0</v>
      </c>
      <c r="H109" s="25">
        <f>1-G109-F109</f>
        <v>1</v>
      </c>
      <c r="I109" s="117">
        <f>F109*B109</f>
        <v>0</v>
      </c>
      <c r="J109" s="118">
        <f>F109*C109</f>
        <v>0</v>
      </c>
      <c r="K109" s="109">
        <f t="shared" ref="K109" si="123">J109+I109</f>
        <v>0</v>
      </c>
      <c r="L109" s="117">
        <f>G109*B109</f>
        <v>0</v>
      </c>
      <c r="M109" s="119">
        <f>G109*C109</f>
        <v>0</v>
      </c>
      <c r="N109" s="109">
        <f t="shared" ref="N109" si="124">M109+L109</f>
        <v>0</v>
      </c>
      <c r="O109" s="101">
        <f>B109*H109</f>
        <v>0</v>
      </c>
      <c r="P109" s="6">
        <f>C109*H109</f>
        <v>0</v>
      </c>
      <c r="Q109" s="109">
        <f t="shared" ref="Q109" si="125">P109+O109</f>
        <v>0</v>
      </c>
      <c r="R109" s="146"/>
    </row>
    <row r="110" spans="1:19" s="35" customFormat="1" x14ac:dyDescent="0.25">
      <c r="A110" s="33"/>
      <c r="B110" s="28"/>
      <c r="C110" s="28"/>
      <c r="D110" s="28"/>
      <c r="E110" s="16"/>
      <c r="F110" s="29"/>
      <c r="G110" s="30"/>
      <c r="H110" s="30"/>
      <c r="I110" s="15"/>
      <c r="J110" s="34"/>
      <c r="K110" s="32"/>
      <c r="L110" s="15"/>
      <c r="M110" s="16"/>
      <c r="N110" s="60"/>
      <c r="O110" s="15"/>
      <c r="P110" s="16"/>
      <c r="Q110" s="32"/>
      <c r="R110" s="147"/>
    </row>
    <row r="111" spans="1:19" s="99" customFormat="1" x14ac:dyDescent="0.25">
      <c r="A111" s="106" t="s">
        <v>35</v>
      </c>
      <c r="B111" s="100">
        <v>0</v>
      </c>
      <c r="C111" s="100">
        <f>B111*0.09</f>
        <v>0</v>
      </c>
      <c r="D111" s="100">
        <f>C111+B111</f>
        <v>0</v>
      </c>
      <c r="E111" s="373" t="s">
        <v>149</v>
      </c>
      <c r="F111" s="51">
        <v>0</v>
      </c>
      <c r="G111" s="52">
        <v>0</v>
      </c>
      <c r="H111" s="25">
        <f>1-G111-F111</f>
        <v>1</v>
      </c>
      <c r="I111" s="117">
        <f>F111*B111</f>
        <v>0</v>
      </c>
      <c r="J111" s="118">
        <f>F111*C111</f>
        <v>0</v>
      </c>
      <c r="K111" s="109">
        <f t="shared" ref="K111" si="126">J111+I111</f>
        <v>0</v>
      </c>
      <c r="L111" s="117">
        <f>G111*B111</f>
        <v>0</v>
      </c>
      <c r="M111" s="119">
        <f>G111*C111</f>
        <v>0</v>
      </c>
      <c r="N111" s="109">
        <f t="shared" ref="N111" si="127">M111+L111</f>
        <v>0</v>
      </c>
      <c r="O111" s="101">
        <f>B111*H111</f>
        <v>0</v>
      </c>
      <c r="P111" s="6">
        <f>C111*H111</f>
        <v>0</v>
      </c>
      <c r="Q111" s="220">
        <f t="shared" ref="Q111" si="128">P111+O111</f>
        <v>0</v>
      </c>
      <c r="R111" s="208"/>
    </row>
    <row r="112" spans="1:19" s="84" customFormat="1" x14ac:dyDescent="0.25">
      <c r="B112" s="85"/>
      <c r="C112" s="85"/>
      <c r="D112" s="85"/>
      <c r="E112" s="90"/>
      <c r="F112" s="86"/>
      <c r="G112" s="87"/>
      <c r="H112" s="87"/>
      <c r="I112" s="88"/>
      <c r="J112" s="89"/>
      <c r="K112" s="73"/>
      <c r="L112" s="88"/>
      <c r="M112" s="90"/>
      <c r="N112" s="140"/>
      <c r="O112" s="88"/>
      <c r="P112" s="90"/>
      <c r="Q112" s="212"/>
      <c r="R112" s="213"/>
      <c r="S112" s="213"/>
    </row>
    <row r="113" spans="1:19" s="111" customFormat="1" x14ac:dyDescent="0.25">
      <c r="A113" s="111" t="s">
        <v>72</v>
      </c>
      <c r="B113" s="112">
        <f>SUM(B114,B120,B122,B124,B126)</f>
        <v>41000</v>
      </c>
      <c r="C113" s="112">
        <f>B113*0.09</f>
        <v>3690</v>
      </c>
      <c r="D113" s="112">
        <f>SUM(B113:C113)</f>
        <v>44690</v>
      </c>
      <c r="E113" s="375"/>
      <c r="F113" s="47"/>
      <c r="G113" s="48"/>
      <c r="H113" s="48"/>
      <c r="I113" s="113">
        <f>SUM(I114,I120,I122,I124,I126)</f>
        <v>0</v>
      </c>
      <c r="J113" s="114">
        <f t="shared" ref="J113:M113" si="129">SUM(J114,J120,J122,J124,J126)</f>
        <v>0</v>
      </c>
      <c r="K113" s="114">
        <f t="shared" ref="K113:K118" si="130">J113+I113</f>
        <v>0</v>
      </c>
      <c r="L113" s="113">
        <f t="shared" ref="L113" si="131">SUM(L114,L120,L122,L124,L126)</f>
        <v>0</v>
      </c>
      <c r="M113" s="114">
        <f t="shared" si="129"/>
        <v>0</v>
      </c>
      <c r="N113" s="114">
        <f t="shared" ref="N113:N118" si="132">M113+L113</f>
        <v>0</v>
      </c>
      <c r="O113" s="113">
        <f t="shared" ref="O113:P113" si="133">SUM(O114,O120,O122,O124,O126)</f>
        <v>41000</v>
      </c>
      <c r="P113" s="114">
        <f t="shared" si="133"/>
        <v>3690</v>
      </c>
      <c r="Q113" s="114">
        <f t="shared" ref="Q113:Q118" si="134">P113+O113</f>
        <v>44690</v>
      </c>
      <c r="R113" s="148"/>
    </row>
    <row r="114" spans="1:19" s="120" customFormat="1" x14ac:dyDescent="0.25">
      <c r="A114" s="120" t="s">
        <v>10</v>
      </c>
      <c r="B114" s="116">
        <f>SUM(B115:B118)</f>
        <v>41000</v>
      </c>
      <c r="C114" s="116">
        <f>SUM(C115:C118)</f>
        <v>3690</v>
      </c>
      <c r="D114" s="116">
        <f>SUM(D115:D118)</f>
        <v>44690</v>
      </c>
      <c r="E114" s="119"/>
      <c r="F114" s="78">
        <f>AVERAGE(F115:F118)</f>
        <v>0</v>
      </c>
      <c r="G114" s="78">
        <f>AVERAGE(G115:G118)</f>
        <v>0</v>
      </c>
      <c r="H114" s="78">
        <f>AVERAGE(H115:H118)</f>
        <v>1</v>
      </c>
      <c r="I114" s="117">
        <f>SUM(I115:I118)</f>
        <v>0</v>
      </c>
      <c r="J114" s="118">
        <f>SUM(J115:J118)</f>
        <v>0</v>
      </c>
      <c r="K114" s="121">
        <f t="shared" si="130"/>
        <v>0</v>
      </c>
      <c r="L114" s="117">
        <f>SUM(L115:L118)</f>
        <v>0</v>
      </c>
      <c r="M114" s="119">
        <f>SUM(M115:M118)</f>
        <v>0</v>
      </c>
      <c r="N114" s="121">
        <f t="shared" si="132"/>
        <v>0</v>
      </c>
      <c r="O114" s="101">
        <f>SUM(O115:O118)</f>
        <v>41000</v>
      </c>
      <c r="P114" s="6">
        <f>SUM(P115:P118)</f>
        <v>3690</v>
      </c>
      <c r="Q114" s="121">
        <f t="shared" si="134"/>
        <v>44690</v>
      </c>
      <c r="R114" s="149"/>
    </row>
    <row r="115" spans="1:19" s="12" customFormat="1" x14ac:dyDescent="0.25">
      <c r="A115" s="17" t="s">
        <v>73</v>
      </c>
      <c r="B115" s="18">
        <v>12000</v>
      </c>
      <c r="C115" s="28">
        <f t="shared" ref="C115:C118" si="135">B115*0.09</f>
        <v>1080</v>
      </c>
      <c r="D115" s="28">
        <f t="shared" ref="D115:D118" si="136">C115+B115</f>
        <v>13080</v>
      </c>
      <c r="E115" s="373" t="s">
        <v>149</v>
      </c>
      <c r="F115" s="79">
        <v>0</v>
      </c>
      <c r="G115" s="94">
        <v>0</v>
      </c>
      <c r="H115" s="95">
        <f>1-G115-F115</f>
        <v>1</v>
      </c>
      <c r="I115" s="82">
        <f>F115*B115</f>
        <v>0</v>
      </c>
      <c r="J115" s="132">
        <f>F115*C115</f>
        <v>0</v>
      </c>
      <c r="K115" s="23">
        <f t="shared" si="130"/>
        <v>0</v>
      </c>
      <c r="L115" s="22">
        <f>G115*B115</f>
        <v>0</v>
      </c>
      <c r="M115" s="24">
        <f>G115*C115</f>
        <v>0</v>
      </c>
      <c r="N115" s="23">
        <f t="shared" si="132"/>
        <v>0</v>
      </c>
      <c r="O115" s="22">
        <f>H115*B115</f>
        <v>12000</v>
      </c>
      <c r="P115" s="24">
        <f>H115*C115</f>
        <v>1080</v>
      </c>
      <c r="Q115" s="23">
        <f t="shared" si="134"/>
        <v>13080</v>
      </c>
      <c r="R115" s="152"/>
    </row>
    <row r="116" spans="1:19" s="12" customFormat="1" x14ac:dyDescent="0.25">
      <c r="A116" s="17" t="s">
        <v>74</v>
      </c>
      <c r="B116" s="18">
        <v>8000</v>
      </c>
      <c r="C116" s="28">
        <f t="shared" si="135"/>
        <v>720</v>
      </c>
      <c r="D116" s="28">
        <f t="shared" si="136"/>
        <v>8720</v>
      </c>
      <c r="E116" s="373" t="s">
        <v>149</v>
      </c>
      <c r="F116" s="79">
        <v>0</v>
      </c>
      <c r="G116" s="94">
        <v>0</v>
      </c>
      <c r="H116" s="95">
        <f t="shared" ref="H116:H126" si="137">1-G116-F116</f>
        <v>1</v>
      </c>
      <c r="I116" s="82">
        <f>F116*B116</f>
        <v>0</v>
      </c>
      <c r="J116" s="132">
        <f>F116*C116</f>
        <v>0</v>
      </c>
      <c r="K116" s="23">
        <f t="shared" si="130"/>
        <v>0</v>
      </c>
      <c r="L116" s="22">
        <f>G116*B116</f>
        <v>0</v>
      </c>
      <c r="M116" s="24">
        <f>G116*C116</f>
        <v>0</v>
      </c>
      <c r="N116" s="23">
        <f t="shared" si="132"/>
        <v>0</v>
      </c>
      <c r="O116" s="22">
        <f>H116*B116</f>
        <v>8000</v>
      </c>
      <c r="P116" s="24">
        <f>H116*C116</f>
        <v>720</v>
      </c>
      <c r="Q116" s="23">
        <f t="shared" si="134"/>
        <v>8720</v>
      </c>
      <c r="R116" s="152"/>
    </row>
    <row r="117" spans="1:19" s="12" customFormat="1" x14ac:dyDescent="0.25">
      <c r="A117" s="17" t="s">
        <v>75</v>
      </c>
      <c r="B117" s="18">
        <v>9000</v>
      </c>
      <c r="C117" s="28">
        <f t="shared" si="135"/>
        <v>810</v>
      </c>
      <c r="D117" s="28">
        <f t="shared" si="136"/>
        <v>9810</v>
      </c>
      <c r="E117" s="373" t="s">
        <v>149</v>
      </c>
      <c r="F117" s="79">
        <v>0</v>
      </c>
      <c r="G117" s="94">
        <v>0</v>
      </c>
      <c r="H117" s="95">
        <f t="shared" si="137"/>
        <v>1</v>
      </c>
      <c r="I117" s="82">
        <f>F117*B117</f>
        <v>0</v>
      </c>
      <c r="J117" s="132">
        <f>F117*C117</f>
        <v>0</v>
      </c>
      <c r="K117" s="23">
        <f t="shared" si="130"/>
        <v>0</v>
      </c>
      <c r="L117" s="22">
        <f>G117*B117</f>
        <v>0</v>
      </c>
      <c r="M117" s="24">
        <f>G117*C117</f>
        <v>0</v>
      </c>
      <c r="N117" s="23">
        <f t="shared" si="132"/>
        <v>0</v>
      </c>
      <c r="O117" s="22">
        <f>H117*B117</f>
        <v>9000</v>
      </c>
      <c r="P117" s="24">
        <f>H117*C117</f>
        <v>810</v>
      </c>
      <c r="Q117" s="23">
        <f t="shared" si="134"/>
        <v>9810</v>
      </c>
      <c r="R117" s="152"/>
    </row>
    <row r="118" spans="1:19" s="12" customFormat="1" x14ac:dyDescent="0.25">
      <c r="A118" s="17" t="s">
        <v>76</v>
      </c>
      <c r="B118" s="18">
        <v>12000</v>
      </c>
      <c r="C118" s="28">
        <f t="shared" si="135"/>
        <v>1080</v>
      </c>
      <c r="D118" s="28">
        <f t="shared" si="136"/>
        <v>13080</v>
      </c>
      <c r="E118" s="373" t="s">
        <v>149</v>
      </c>
      <c r="F118" s="79">
        <v>0</v>
      </c>
      <c r="G118" s="94">
        <v>0</v>
      </c>
      <c r="H118" s="95">
        <f t="shared" si="137"/>
        <v>1</v>
      </c>
      <c r="I118" s="82">
        <f>F118*B118</f>
        <v>0</v>
      </c>
      <c r="J118" s="132">
        <f>F118*C118</f>
        <v>0</v>
      </c>
      <c r="K118" s="23">
        <f t="shared" si="130"/>
        <v>0</v>
      </c>
      <c r="L118" s="22">
        <f>G118*B118</f>
        <v>0</v>
      </c>
      <c r="M118" s="24">
        <f>G118*C118</f>
        <v>0</v>
      </c>
      <c r="N118" s="23">
        <f t="shared" si="132"/>
        <v>0</v>
      </c>
      <c r="O118" s="22">
        <f>H118*B118</f>
        <v>12000</v>
      </c>
      <c r="P118" s="24">
        <f>H118*C118</f>
        <v>1080</v>
      </c>
      <c r="Q118" s="23">
        <f t="shared" si="134"/>
        <v>13080</v>
      </c>
      <c r="R118" s="152"/>
    </row>
    <row r="119" spans="1:19" s="12" customFormat="1" x14ac:dyDescent="0.25">
      <c r="B119" s="13"/>
      <c r="C119" s="13"/>
      <c r="D119" s="13"/>
      <c r="E119" s="27"/>
      <c r="F119" s="14"/>
      <c r="G119" s="25"/>
      <c r="H119" s="25"/>
      <c r="I119" s="26"/>
      <c r="J119" s="83"/>
      <c r="K119" s="65"/>
      <c r="L119" s="26"/>
      <c r="M119" s="27"/>
      <c r="N119" s="54"/>
      <c r="O119" s="26"/>
      <c r="P119" s="27"/>
      <c r="Q119" s="65"/>
      <c r="R119" s="152"/>
    </row>
    <row r="120" spans="1:19" s="120" customFormat="1" x14ac:dyDescent="0.25">
      <c r="A120" s="120" t="s">
        <v>15</v>
      </c>
      <c r="B120" s="116">
        <v>0</v>
      </c>
      <c r="C120" s="116">
        <v>0</v>
      </c>
      <c r="D120" s="116">
        <f>C120+B120</f>
        <v>0</v>
      </c>
      <c r="E120" s="373" t="s">
        <v>149</v>
      </c>
      <c r="F120" s="51">
        <v>0</v>
      </c>
      <c r="G120" s="52">
        <v>0</v>
      </c>
      <c r="H120" s="25">
        <f t="shared" si="137"/>
        <v>1</v>
      </c>
      <c r="I120" s="117">
        <f>F120*B120</f>
        <v>0</v>
      </c>
      <c r="J120" s="118">
        <f>F120*C120</f>
        <v>0</v>
      </c>
      <c r="K120" s="109">
        <f t="shared" ref="K120" si="138">J120+I120</f>
        <v>0</v>
      </c>
      <c r="L120" s="117">
        <f>G120*B120</f>
        <v>0</v>
      </c>
      <c r="M120" s="119">
        <f>G120*C120</f>
        <v>0</v>
      </c>
      <c r="N120" s="109">
        <f t="shared" ref="N120" si="139">M120+L120</f>
        <v>0</v>
      </c>
      <c r="O120" s="101">
        <f>B120*H120</f>
        <v>0</v>
      </c>
      <c r="P120" s="6">
        <f>C120*H120</f>
        <v>0</v>
      </c>
      <c r="Q120" s="109">
        <f t="shared" ref="Q120" si="140">P120+O120</f>
        <v>0</v>
      </c>
      <c r="R120" s="149"/>
    </row>
    <row r="121" spans="1:19" s="12" customFormat="1" x14ac:dyDescent="0.25">
      <c r="A121" s="96"/>
      <c r="B121" s="13"/>
      <c r="C121" s="13"/>
      <c r="D121" s="13"/>
      <c r="E121" s="27"/>
      <c r="F121" s="14"/>
      <c r="G121" s="25"/>
      <c r="H121" s="25"/>
      <c r="I121" s="26"/>
      <c r="J121" s="83"/>
      <c r="K121" s="65"/>
      <c r="L121" s="26"/>
      <c r="M121" s="27"/>
      <c r="N121" s="54"/>
      <c r="O121" s="26"/>
      <c r="P121" s="27"/>
      <c r="Q121" s="65"/>
      <c r="R121" s="152"/>
    </row>
    <row r="122" spans="1:19" s="120" customFormat="1" x14ac:dyDescent="0.25">
      <c r="A122" s="120" t="s">
        <v>37</v>
      </c>
      <c r="B122" s="116">
        <v>0</v>
      </c>
      <c r="C122" s="116">
        <f>B122*0.09</f>
        <v>0</v>
      </c>
      <c r="D122" s="116">
        <f>SUM(B122:C122)</f>
        <v>0</v>
      </c>
      <c r="E122" s="373" t="s">
        <v>149</v>
      </c>
      <c r="F122" s="51">
        <v>0</v>
      </c>
      <c r="G122" s="52">
        <v>0</v>
      </c>
      <c r="H122" s="25">
        <f t="shared" si="137"/>
        <v>1</v>
      </c>
      <c r="I122" s="117">
        <f>F122*B122</f>
        <v>0</v>
      </c>
      <c r="J122" s="118">
        <f>F122*C122</f>
        <v>0</v>
      </c>
      <c r="K122" s="109">
        <f t="shared" ref="K122" si="141">J122+I122</f>
        <v>0</v>
      </c>
      <c r="L122" s="117">
        <f>G122*B122</f>
        <v>0</v>
      </c>
      <c r="M122" s="119">
        <f>G122*C122</f>
        <v>0</v>
      </c>
      <c r="N122" s="109">
        <f t="shared" ref="N122" si="142">M122+L122</f>
        <v>0</v>
      </c>
      <c r="O122" s="101">
        <f>B122*H122</f>
        <v>0</v>
      </c>
      <c r="P122" s="6">
        <f>C122*H122</f>
        <v>0</v>
      </c>
      <c r="Q122" s="109">
        <f t="shared" ref="Q122" si="143">P122+O122</f>
        <v>0</v>
      </c>
      <c r="R122" s="149"/>
    </row>
    <row r="123" spans="1:19" s="12" customFormat="1" x14ac:dyDescent="0.25">
      <c r="B123" s="13"/>
      <c r="C123" s="13"/>
      <c r="D123" s="13"/>
      <c r="E123" s="27"/>
      <c r="F123" s="14"/>
      <c r="G123" s="25"/>
      <c r="H123" s="25"/>
      <c r="I123" s="26"/>
      <c r="J123" s="83"/>
      <c r="K123" s="65"/>
      <c r="L123" s="26"/>
      <c r="M123" s="27"/>
      <c r="N123" s="54"/>
      <c r="O123" s="26"/>
      <c r="P123" s="27"/>
      <c r="Q123" s="65"/>
      <c r="R123" s="152"/>
    </row>
    <row r="124" spans="1:19" s="99" customFormat="1" x14ac:dyDescent="0.25">
      <c r="A124" s="99" t="s">
        <v>30</v>
      </c>
      <c r="B124" s="100">
        <v>0</v>
      </c>
      <c r="C124" s="100">
        <f>B124*0.09</f>
        <v>0</v>
      </c>
      <c r="D124" s="100">
        <f>C124+B124</f>
        <v>0</v>
      </c>
      <c r="E124" s="373" t="s">
        <v>149</v>
      </c>
      <c r="F124" s="51">
        <v>0</v>
      </c>
      <c r="G124" s="52">
        <v>0</v>
      </c>
      <c r="H124" s="25">
        <f t="shared" si="137"/>
        <v>1</v>
      </c>
      <c r="I124" s="117">
        <f>F124*B124</f>
        <v>0</v>
      </c>
      <c r="J124" s="118">
        <f>F124*C124</f>
        <v>0</v>
      </c>
      <c r="K124" s="109">
        <f t="shared" ref="K124" si="144">J124+I124</f>
        <v>0</v>
      </c>
      <c r="L124" s="117">
        <f>G124*B124</f>
        <v>0</v>
      </c>
      <c r="M124" s="119">
        <f>G124*C124</f>
        <v>0</v>
      </c>
      <c r="N124" s="109">
        <f t="shared" ref="N124" si="145">M124+L124</f>
        <v>0</v>
      </c>
      <c r="O124" s="101">
        <f>B124*H124</f>
        <v>0</v>
      </c>
      <c r="P124" s="6">
        <f>C124*H124</f>
        <v>0</v>
      </c>
      <c r="Q124" s="109">
        <f t="shared" ref="Q124" si="146">P124+O124</f>
        <v>0</v>
      </c>
      <c r="R124" s="146"/>
    </row>
    <row r="125" spans="1:19" s="12" customFormat="1" x14ac:dyDescent="0.25">
      <c r="A125" s="96"/>
      <c r="B125" s="13"/>
      <c r="C125" s="13"/>
      <c r="D125" s="13"/>
      <c r="E125" s="27"/>
      <c r="F125" s="14"/>
      <c r="G125" s="25"/>
      <c r="H125" s="25"/>
      <c r="I125" s="26"/>
      <c r="J125" s="83"/>
      <c r="K125" s="65"/>
      <c r="L125" s="26"/>
      <c r="M125" s="27"/>
      <c r="N125" s="54"/>
      <c r="O125" s="26"/>
      <c r="P125" s="27"/>
      <c r="Q125" s="65"/>
      <c r="R125" s="152"/>
    </row>
    <row r="126" spans="1:19" s="99" customFormat="1" x14ac:dyDescent="0.25">
      <c r="A126" s="106" t="s">
        <v>35</v>
      </c>
      <c r="B126" s="100">
        <v>0</v>
      </c>
      <c r="C126" s="100">
        <f>B126*0.09</f>
        <v>0</v>
      </c>
      <c r="D126" s="100">
        <f>C126+B126</f>
        <v>0</v>
      </c>
      <c r="E126" s="373" t="s">
        <v>149</v>
      </c>
      <c r="F126" s="51">
        <v>0</v>
      </c>
      <c r="G126" s="52">
        <v>0</v>
      </c>
      <c r="H126" s="25">
        <f t="shared" si="137"/>
        <v>1</v>
      </c>
      <c r="I126" s="117">
        <f>F126*B126</f>
        <v>0</v>
      </c>
      <c r="J126" s="118">
        <f>F126*C126</f>
        <v>0</v>
      </c>
      <c r="K126" s="109">
        <f t="shared" ref="K126" si="147">J126+I126</f>
        <v>0</v>
      </c>
      <c r="L126" s="117">
        <f>G126*B126</f>
        <v>0</v>
      </c>
      <c r="M126" s="119">
        <f>G126*C126</f>
        <v>0</v>
      </c>
      <c r="N126" s="109">
        <f t="shared" ref="N126" si="148">M126+L126</f>
        <v>0</v>
      </c>
      <c r="O126" s="101">
        <f>B126*H126</f>
        <v>0</v>
      </c>
      <c r="P126" s="6">
        <f>C126*H126</f>
        <v>0</v>
      </c>
      <c r="Q126" s="109">
        <f t="shared" ref="Q126" si="149">P126+O126</f>
        <v>0</v>
      </c>
      <c r="R126" s="146"/>
    </row>
    <row r="127" spans="1:19" s="84" customFormat="1" x14ac:dyDescent="0.25">
      <c r="B127" s="85"/>
      <c r="C127" s="85"/>
      <c r="D127" s="85"/>
      <c r="E127" s="90"/>
      <c r="F127" s="86"/>
      <c r="G127" s="87"/>
      <c r="H127" s="87"/>
      <c r="I127" s="88"/>
      <c r="J127" s="89"/>
      <c r="K127" s="73"/>
      <c r="L127" s="88"/>
      <c r="M127" s="90"/>
      <c r="N127" s="140"/>
      <c r="O127" s="88"/>
      <c r="P127" s="90"/>
      <c r="Q127" s="212"/>
      <c r="R127" s="213"/>
      <c r="S127" s="213"/>
    </row>
    <row r="128" spans="1:19" s="111" customFormat="1" x14ac:dyDescent="0.25">
      <c r="A128" s="111" t="s">
        <v>77</v>
      </c>
      <c r="B128" s="112">
        <f>SUM(B129,B132,B134,B138,B140)</f>
        <v>169602</v>
      </c>
      <c r="C128" s="112">
        <f>B128*0.09</f>
        <v>15264.18</v>
      </c>
      <c r="D128" s="112">
        <f>SUM(B128:C128)</f>
        <v>184866.18</v>
      </c>
      <c r="E128" s="375"/>
      <c r="F128" s="47"/>
      <c r="G128" s="48"/>
      <c r="H128" s="48"/>
      <c r="I128" s="113">
        <f>SUM(I129,I132,I134,I138,I140)</f>
        <v>0</v>
      </c>
      <c r="J128" s="114">
        <f t="shared" ref="J128:M128" si="150">SUM(J129,J132,J134,J138,J140)</f>
        <v>0</v>
      </c>
      <c r="K128" s="114">
        <f t="shared" ref="K128:K130" si="151">J128+I128</f>
        <v>0</v>
      </c>
      <c r="L128" s="113">
        <f t="shared" ref="L128" si="152">SUM(L129,L132,L134,L138,L140)</f>
        <v>0</v>
      </c>
      <c r="M128" s="114">
        <f t="shared" si="150"/>
        <v>0</v>
      </c>
      <c r="N128" s="114">
        <f t="shared" ref="N128:N130" si="153">M128+L128</f>
        <v>0</v>
      </c>
      <c r="O128" s="113">
        <f t="shared" ref="O128:P128" si="154">SUM(O129,O132,O134,O138,O140)</f>
        <v>169602</v>
      </c>
      <c r="P128" s="114">
        <f t="shared" si="154"/>
        <v>15264.18</v>
      </c>
      <c r="Q128" s="114">
        <f t="shared" ref="Q128:Q130" si="155">P128+O128</f>
        <v>184866.18</v>
      </c>
      <c r="R128" s="148"/>
    </row>
    <row r="129" spans="1:19" s="120" customFormat="1" x14ac:dyDescent="0.25">
      <c r="A129" s="120" t="s">
        <v>10</v>
      </c>
      <c r="B129" s="116">
        <f>SUM(B130:B130)</f>
        <v>96188</v>
      </c>
      <c r="C129" s="116">
        <f>SUM(C130:C130)</f>
        <v>8656.92</v>
      </c>
      <c r="D129" s="116">
        <f>SUM(D130:D130)</f>
        <v>104844.92</v>
      </c>
      <c r="E129" s="373" t="s">
        <v>149</v>
      </c>
      <c r="F129" s="78">
        <f>AVERAGE(F130)</f>
        <v>0</v>
      </c>
      <c r="G129" s="78">
        <f t="shared" ref="G129:H129" si="156">AVERAGE(G130)</f>
        <v>0</v>
      </c>
      <c r="H129" s="97">
        <f t="shared" si="156"/>
        <v>1</v>
      </c>
      <c r="I129" s="117">
        <f>SUM(I130)</f>
        <v>0</v>
      </c>
      <c r="J129" s="118">
        <f>SUM(J130)</f>
        <v>0</v>
      </c>
      <c r="K129" s="109">
        <f t="shared" si="151"/>
        <v>0</v>
      </c>
      <c r="L129" s="117">
        <f>SUM(L130)</f>
        <v>0</v>
      </c>
      <c r="M129" s="119">
        <f>SUM(M130)</f>
        <v>0</v>
      </c>
      <c r="N129" s="109">
        <f t="shared" si="153"/>
        <v>0</v>
      </c>
      <c r="O129" s="101">
        <f>SUM(O130)</f>
        <v>96188</v>
      </c>
      <c r="P129" s="6">
        <f>SUM(P130)</f>
        <v>8656.92</v>
      </c>
      <c r="Q129" s="109">
        <f t="shared" si="155"/>
        <v>104844.92</v>
      </c>
      <c r="R129" s="149"/>
    </row>
    <row r="130" spans="1:19" s="12" customFormat="1" x14ac:dyDescent="0.25">
      <c r="A130" s="17" t="s">
        <v>78</v>
      </c>
      <c r="B130" s="18">
        <v>96188</v>
      </c>
      <c r="C130" s="28">
        <f t="shared" ref="C130" si="157">B130*0.09</f>
        <v>8656.92</v>
      </c>
      <c r="D130" s="28">
        <f t="shared" ref="D130" si="158">C130+B130</f>
        <v>104844.92</v>
      </c>
      <c r="E130" s="373" t="s">
        <v>149</v>
      </c>
      <c r="F130" s="79">
        <v>0</v>
      </c>
      <c r="G130" s="94">
        <v>0</v>
      </c>
      <c r="H130" s="95">
        <f>1-G130-F130</f>
        <v>1</v>
      </c>
      <c r="I130" s="82">
        <f>F130*B130</f>
        <v>0</v>
      </c>
      <c r="J130" s="132">
        <f>F130*C130</f>
        <v>0</v>
      </c>
      <c r="K130" s="23">
        <f t="shared" si="151"/>
        <v>0</v>
      </c>
      <c r="L130" s="22">
        <f>G130*B130</f>
        <v>0</v>
      </c>
      <c r="M130" s="24">
        <f>G130*C130</f>
        <v>0</v>
      </c>
      <c r="N130" s="23">
        <f t="shared" si="153"/>
        <v>0</v>
      </c>
      <c r="O130" s="22">
        <f>H130*B130</f>
        <v>96188</v>
      </c>
      <c r="P130" s="24">
        <f>H130*C130</f>
        <v>8656.92</v>
      </c>
      <c r="Q130" s="23">
        <f t="shared" si="155"/>
        <v>104844.92</v>
      </c>
      <c r="R130" s="152"/>
    </row>
    <row r="131" spans="1:19" s="12" customFormat="1" x14ac:dyDescent="0.25">
      <c r="B131" s="13"/>
      <c r="C131" s="13"/>
      <c r="D131" s="13"/>
      <c r="E131" s="27"/>
      <c r="F131" s="14"/>
      <c r="G131" s="25"/>
      <c r="H131" s="25"/>
      <c r="I131" s="26"/>
      <c r="J131" s="83"/>
      <c r="K131" s="65"/>
      <c r="L131" s="26"/>
      <c r="M131" s="27"/>
      <c r="N131" s="54"/>
      <c r="O131" s="26"/>
      <c r="P131" s="27"/>
      <c r="Q131" s="65"/>
      <c r="R131" s="152"/>
    </row>
    <row r="132" spans="1:19" s="120" customFormat="1" x14ac:dyDescent="0.25">
      <c r="A132" s="120" t="s">
        <v>15</v>
      </c>
      <c r="B132" s="116">
        <v>0</v>
      </c>
      <c r="C132" s="116">
        <v>0</v>
      </c>
      <c r="D132" s="116">
        <f>C132+B132</f>
        <v>0</v>
      </c>
      <c r="E132" s="373" t="s">
        <v>149</v>
      </c>
      <c r="F132" s="14">
        <v>0</v>
      </c>
      <c r="G132" s="25">
        <v>0</v>
      </c>
      <c r="H132" s="25">
        <f>1-G132-F132</f>
        <v>1</v>
      </c>
      <c r="I132" s="117">
        <f>F132*B132</f>
        <v>0</v>
      </c>
      <c r="J132" s="118">
        <f>F132*C132</f>
        <v>0</v>
      </c>
      <c r="K132" s="109">
        <f t="shared" ref="K132" si="159">J132+I132</f>
        <v>0</v>
      </c>
      <c r="L132" s="117">
        <f>G132*B132</f>
        <v>0</v>
      </c>
      <c r="M132" s="119">
        <f>G132*C132</f>
        <v>0</v>
      </c>
      <c r="N132" s="109">
        <f t="shared" ref="N132" si="160">M132+L132</f>
        <v>0</v>
      </c>
      <c r="O132" s="101">
        <f>B132*H132</f>
        <v>0</v>
      </c>
      <c r="P132" s="6">
        <f>C132*H132</f>
        <v>0</v>
      </c>
      <c r="Q132" s="109">
        <f t="shared" ref="Q132" si="161">P132+O132</f>
        <v>0</v>
      </c>
      <c r="R132" s="149"/>
    </row>
    <row r="133" spans="1:19" s="12" customFormat="1" x14ac:dyDescent="0.25">
      <c r="A133" s="17"/>
      <c r="B133" s="18"/>
      <c r="C133" s="28"/>
      <c r="D133" s="28"/>
      <c r="E133" s="16"/>
      <c r="F133" s="14"/>
      <c r="G133" s="25"/>
      <c r="H133" s="25"/>
      <c r="I133" s="26"/>
      <c r="J133" s="83"/>
      <c r="K133" s="65"/>
      <c r="L133" s="26"/>
      <c r="M133" s="27"/>
      <c r="N133" s="54"/>
      <c r="O133" s="26"/>
      <c r="P133" s="27"/>
      <c r="Q133" s="65"/>
      <c r="R133" s="152"/>
    </row>
    <row r="134" spans="1:19" s="120" customFormat="1" x14ac:dyDescent="0.25">
      <c r="A134" s="120" t="s">
        <v>37</v>
      </c>
      <c r="B134" s="116">
        <f>SUM(B135:B136)</f>
        <v>73414</v>
      </c>
      <c r="C134" s="116">
        <f>B134*0.09</f>
        <v>6607.2599999999993</v>
      </c>
      <c r="D134" s="116">
        <f>SUM(B134:C134)</f>
        <v>80021.259999999995</v>
      </c>
      <c r="E134" s="373"/>
      <c r="F134" s="78">
        <f>AVERAGE(F135:F136)</f>
        <v>0</v>
      </c>
      <c r="G134" s="78">
        <f t="shared" ref="G134:H134" si="162">AVERAGE(G135:G136)</f>
        <v>0</v>
      </c>
      <c r="H134" s="97">
        <f t="shared" si="162"/>
        <v>1</v>
      </c>
      <c r="I134" s="117">
        <f>SUM(I135:I136)</f>
        <v>0</v>
      </c>
      <c r="J134" s="118">
        <f>SUM(J135:J136)</f>
        <v>0</v>
      </c>
      <c r="K134" s="109">
        <f t="shared" ref="K134:K136" si="163">J134+I134</f>
        <v>0</v>
      </c>
      <c r="L134" s="117">
        <f>SUM(L135:L136)</f>
        <v>0</v>
      </c>
      <c r="M134" s="119">
        <f>SUM(M135:M136)</f>
        <v>0</v>
      </c>
      <c r="N134" s="109">
        <f t="shared" ref="N134:N136" si="164">M134+L134</f>
        <v>0</v>
      </c>
      <c r="O134" s="101">
        <f>SUM(O135:O136)</f>
        <v>73414</v>
      </c>
      <c r="P134" s="6">
        <f>SUM(P135:P136)</f>
        <v>6607.2599999999993</v>
      </c>
      <c r="Q134" s="109">
        <f t="shared" ref="Q134:Q136" si="165">P134+O134</f>
        <v>80021.259999999995</v>
      </c>
      <c r="R134" s="149"/>
    </row>
    <row r="135" spans="1:19" s="12" customFormat="1" x14ac:dyDescent="0.25">
      <c r="A135" s="17" t="s">
        <v>79</v>
      </c>
      <c r="B135" s="18">
        <v>11274</v>
      </c>
      <c r="C135" s="28">
        <f t="shared" ref="C135:C136" si="166">B135*0.09</f>
        <v>1014.66</v>
      </c>
      <c r="D135" s="28">
        <f t="shared" ref="D135:D136" si="167">C135+B135</f>
        <v>12288.66</v>
      </c>
      <c r="E135" s="373" t="s">
        <v>149</v>
      </c>
      <c r="F135" s="79">
        <v>0</v>
      </c>
      <c r="G135" s="94">
        <v>0</v>
      </c>
      <c r="H135" s="95">
        <f>1-G135-F135</f>
        <v>1</v>
      </c>
      <c r="I135" s="82">
        <f>F135*B135</f>
        <v>0</v>
      </c>
      <c r="J135" s="132">
        <f>F135*C135</f>
        <v>0</v>
      </c>
      <c r="K135" s="23">
        <f t="shared" si="163"/>
        <v>0</v>
      </c>
      <c r="L135" s="22">
        <f>G135*B135</f>
        <v>0</v>
      </c>
      <c r="M135" s="24">
        <f>G135*C135</f>
        <v>0</v>
      </c>
      <c r="N135" s="23">
        <f t="shared" si="164"/>
        <v>0</v>
      </c>
      <c r="O135" s="22">
        <f>H135*B135</f>
        <v>11274</v>
      </c>
      <c r="P135" s="24">
        <f>H135*C135</f>
        <v>1014.66</v>
      </c>
      <c r="Q135" s="23">
        <f t="shared" si="165"/>
        <v>12288.66</v>
      </c>
      <c r="R135" s="152"/>
    </row>
    <row r="136" spans="1:19" s="12" customFormat="1" x14ac:dyDescent="0.25">
      <c r="A136" s="17" t="s">
        <v>80</v>
      </c>
      <c r="B136" s="18">
        <v>62140</v>
      </c>
      <c r="C136" s="28">
        <f t="shared" si="166"/>
        <v>5592.5999999999995</v>
      </c>
      <c r="D136" s="28">
        <f t="shared" si="167"/>
        <v>67732.600000000006</v>
      </c>
      <c r="E136" s="373" t="s">
        <v>149</v>
      </c>
      <c r="F136" s="79">
        <v>0</v>
      </c>
      <c r="G136" s="94">
        <v>0</v>
      </c>
      <c r="H136" s="95">
        <f>1-G136-F136</f>
        <v>1</v>
      </c>
      <c r="I136" s="82">
        <f>F136*B136</f>
        <v>0</v>
      </c>
      <c r="J136" s="132">
        <f>F136*C136</f>
        <v>0</v>
      </c>
      <c r="K136" s="23">
        <f t="shared" si="163"/>
        <v>0</v>
      </c>
      <c r="L136" s="22">
        <f>G136*B136</f>
        <v>0</v>
      </c>
      <c r="M136" s="24">
        <f>G136*C136</f>
        <v>0</v>
      </c>
      <c r="N136" s="23">
        <f t="shared" si="164"/>
        <v>0</v>
      </c>
      <c r="O136" s="22">
        <f>H136*B136</f>
        <v>62140</v>
      </c>
      <c r="P136" s="24">
        <f>H136*C136</f>
        <v>5592.5999999999995</v>
      </c>
      <c r="Q136" s="23">
        <f t="shared" si="165"/>
        <v>67732.600000000006</v>
      </c>
      <c r="R136" s="152"/>
    </row>
    <row r="137" spans="1:19" s="12" customFormat="1" x14ac:dyDescent="0.25">
      <c r="B137" s="13"/>
      <c r="C137" s="13"/>
      <c r="D137" s="13"/>
      <c r="E137" s="27"/>
      <c r="F137" s="14"/>
      <c r="G137" s="25"/>
      <c r="H137" s="25"/>
      <c r="I137" s="26"/>
      <c r="J137" s="83"/>
      <c r="K137" s="65"/>
      <c r="L137" s="26"/>
      <c r="M137" s="27"/>
      <c r="N137" s="54"/>
      <c r="O137" s="26"/>
      <c r="P137" s="27"/>
      <c r="Q137" s="65"/>
      <c r="R137" s="152"/>
    </row>
    <row r="138" spans="1:19" s="99" customFormat="1" x14ac:dyDescent="0.25">
      <c r="A138" s="99" t="s">
        <v>30</v>
      </c>
      <c r="B138" s="100">
        <v>0</v>
      </c>
      <c r="C138" s="100">
        <f>B138*0.09</f>
        <v>0</v>
      </c>
      <c r="D138" s="100">
        <f>C138+B138</f>
        <v>0</v>
      </c>
      <c r="E138" s="373" t="s">
        <v>149</v>
      </c>
      <c r="F138" s="14">
        <v>0</v>
      </c>
      <c r="G138" s="25">
        <v>0</v>
      </c>
      <c r="H138" s="25">
        <f>1-G138-F138</f>
        <v>1</v>
      </c>
      <c r="I138" s="117">
        <f>F138*B138</f>
        <v>0</v>
      </c>
      <c r="J138" s="118">
        <f>F138*C138</f>
        <v>0</v>
      </c>
      <c r="K138" s="109">
        <f t="shared" ref="K138" si="168">J138+I138</f>
        <v>0</v>
      </c>
      <c r="L138" s="117">
        <f>G138*B138</f>
        <v>0</v>
      </c>
      <c r="M138" s="119">
        <f>G138*C138</f>
        <v>0</v>
      </c>
      <c r="N138" s="109">
        <f t="shared" ref="N138" si="169">M138+L138</f>
        <v>0</v>
      </c>
      <c r="O138" s="101">
        <f>B138*H138</f>
        <v>0</v>
      </c>
      <c r="P138" s="6">
        <f>C138*H138</f>
        <v>0</v>
      </c>
      <c r="Q138" s="109">
        <f t="shared" ref="Q138" si="170">P138+O138</f>
        <v>0</v>
      </c>
      <c r="R138" s="146"/>
    </row>
    <row r="139" spans="1:19" s="35" customFormat="1" x14ac:dyDescent="0.25">
      <c r="A139" s="33"/>
      <c r="B139" s="28"/>
      <c r="C139" s="28"/>
      <c r="D139" s="28"/>
      <c r="E139" s="16"/>
      <c r="F139" s="29"/>
      <c r="G139" s="30"/>
      <c r="H139" s="30"/>
      <c r="I139" s="15"/>
      <c r="J139" s="34"/>
      <c r="K139" s="32"/>
      <c r="L139" s="15"/>
      <c r="M139" s="16"/>
      <c r="N139" s="60"/>
      <c r="O139" s="15"/>
      <c r="P139" s="16"/>
      <c r="Q139" s="32"/>
      <c r="R139" s="147"/>
    </row>
    <row r="140" spans="1:19" s="99" customFormat="1" x14ac:dyDescent="0.25">
      <c r="A140" s="106" t="s">
        <v>35</v>
      </c>
      <c r="B140" s="100">
        <v>0</v>
      </c>
      <c r="C140" s="100">
        <f>B140*0.09</f>
        <v>0</v>
      </c>
      <c r="D140" s="100">
        <f>C140+B140</f>
        <v>0</v>
      </c>
      <c r="E140" s="373" t="s">
        <v>149</v>
      </c>
      <c r="F140" s="14">
        <v>0</v>
      </c>
      <c r="G140" s="25">
        <v>0</v>
      </c>
      <c r="H140" s="25">
        <f>1-G140-F140</f>
        <v>1</v>
      </c>
      <c r="I140" s="117">
        <f>F140*B140</f>
        <v>0</v>
      </c>
      <c r="J140" s="118">
        <f>F140*C140</f>
        <v>0</v>
      </c>
      <c r="K140" s="109">
        <f t="shared" ref="K140" si="171">J140+I140</f>
        <v>0</v>
      </c>
      <c r="L140" s="117">
        <f>G140*B140</f>
        <v>0</v>
      </c>
      <c r="M140" s="119">
        <f>G140*C140</f>
        <v>0</v>
      </c>
      <c r="N140" s="109">
        <f t="shared" ref="N140" si="172">M140+L140</f>
        <v>0</v>
      </c>
      <c r="O140" s="101">
        <f>B140*H140</f>
        <v>0</v>
      </c>
      <c r="P140" s="6">
        <f>C140*H140</f>
        <v>0</v>
      </c>
      <c r="Q140" s="109">
        <f t="shared" ref="Q140" si="173">P140+O140</f>
        <v>0</v>
      </c>
      <c r="R140" s="146"/>
    </row>
    <row r="141" spans="1:19" s="84" customFormat="1" ht="15.75" thickBot="1" x14ac:dyDescent="0.3">
      <c r="B141" s="85"/>
      <c r="C141" s="85"/>
      <c r="D141" s="85"/>
      <c r="E141" s="90"/>
      <c r="F141" s="86"/>
      <c r="G141" s="87"/>
      <c r="H141" s="87"/>
      <c r="I141" s="26"/>
      <c r="J141" s="89"/>
      <c r="K141" s="98"/>
      <c r="L141" s="26"/>
      <c r="M141" s="90"/>
      <c r="N141" s="141"/>
      <c r="O141" s="26"/>
      <c r="P141" s="90"/>
      <c r="Q141" s="214"/>
      <c r="R141" s="213"/>
      <c r="S141" s="213"/>
    </row>
    <row r="142" spans="1:19" s="7" customFormat="1" ht="15.75" thickBot="1" x14ac:dyDescent="0.3">
      <c r="A142" s="11" t="s">
        <v>81</v>
      </c>
      <c r="B142" s="8">
        <f t="shared" ref="B142:C142" si="174">SUM(B128,B113,B95,B75,B68,B49,B35,B2)</f>
        <v>1856204</v>
      </c>
      <c r="C142" s="8">
        <f t="shared" si="174"/>
        <v>167058.35999999999</v>
      </c>
      <c r="D142" s="8">
        <f>SUM(D128,D113,D95,D75,D68,D49,D35,D2)</f>
        <v>2023262.36</v>
      </c>
      <c r="E142" s="376"/>
      <c r="F142" s="133"/>
      <c r="G142" s="134"/>
      <c r="H142" s="181">
        <f>SUM(K142,N142,Q142)</f>
        <v>2023262.3599999999</v>
      </c>
      <c r="I142" s="135">
        <f>SUM(I2,I35,I49,I68,I75,I95,I113,I128)</f>
        <v>345462.3</v>
      </c>
      <c r="J142" s="135">
        <f t="shared" ref="J142:M142" si="175">SUM(J2,J35,J49,J68,J75,J95,J113,J128)</f>
        <v>31091.606999999996</v>
      </c>
      <c r="K142" s="136">
        <f t="shared" ref="K142" si="176">J142+I142</f>
        <v>376553.90700000001</v>
      </c>
      <c r="L142" s="137">
        <f>SUM(L2,L35,L49,L68,L75,L95,L113,L128)</f>
        <v>1041407.45</v>
      </c>
      <c r="M142" s="135">
        <f t="shared" si="175"/>
        <v>93726.670499999993</v>
      </c>
      <c r="N142" s="136">
        <f t="shared" ref="N142" si="177">M142+L142</f>
        <v>1135134.1205</v>
      </c>
      <c r="O142" s="137">
        <f>SUM(O2,O35,O49,O68,O75,O95,O113,O128)</f>
        <v>469334.25</v>
      </c>
      <c r="P142" s="135">
        <f t="shared" ref="P142" si="178">SUM(P2,P35,P49,P68,P75,P95,P113,P128)</f>
        <v>42240.082499999997</v>
      </c>
      <c r="Q142" s="142">
        <f t="shared" ref="Q142" si="179">P142+O142</f>
        <v>511574.33250000002</v>
      </c>
      <c r="R142" s="154"/>
    </row>
    <row r="143" spans="1:19" ht="30" x14ac:dyDescent="0.25">
      <c r="A143" s="207"/>
      <c r="B143" s="158"/>
      <c r="C143" s="158"/>
      <c r="D143" s="158"/>
      <c r="E143" s="348"/>
      <c r="F143" s="160"/>
      <c r="G143" s="161"/>
      <c r="H143" s="161" t="s">
        <v>272</v>
      </c>
      <c r="I143" s="159">
        <f>SUM(I3,I11,I14,I36,I38,I50,I53:I55,I58:I61,I64,I66,I77:I79,I81,I84:I89,I91,I93,I99:I100,I102)</f>
        <v>315006.12</v>
      </c>
      <c r="J143" s="159">
        <f t="shared" ref="J143:K143" si="180">SUM(J3,J11,J14,J36,J38,J50,J53:J55,J58:J61,J64,J66,J77:J79,J81,J84:J89,J91,J93,J99:J100,J102)</f>
        <v>28350.550799999994</v>
      </c>
      <c r="K143" s="159">
        <f t="shared" si="180"/>
        <v>343356.67079999996</v>
      </c>
      <c r="L143" s="159">
        <f>SUM(L3,L11,L14,L36,L38,L50,L53:L55,L58:L61,L64,L66,L77:L79,L81,L84:L89,L91,L93,L99:L100,L102)</f>
        <v>911122.67999999993</v>
      </c>
      <c r="M143" s="159">
        <f t="shared" ref="M143:N143" si="181">SUM(M3,M11,M14,M36,M38,M50,M53:M55,M58:M61,M64,M66,M77:M79,M81,M84:M89,M91,M93,M99:M100,M102)</f>
        <v>82001.041199999992</v>
      </c>
      <c r="N143" s="159">
        <f t="shared" si="181"/>
        <v>993123.72119999991</v>
      </c>
      <c r="R143" s="207"/>
    </row>
    <row r="144" spans="1:19" x14ac:dyDescent="0.25">
      <c r="A144" s="207"/>
      <c r="B144" s="158"/>
      <c r="C144" s="158"/>
      <c r="D144" s="158"/>
      <c r="E144" s="348"/>
      <c r="F144" s="160"/>
      <c r="G144" s="161"/>
      <c r="H144" s="161" t="s">
        <v>148</v>
      </c>
      <c r="I144" s="159">
        <f>SUM(I15:I25,I28:I31,I33,I41:I42,I45,I47)</f>
        <v>30456.18</v>
      </c>
      <c r="J144" s="159">
        <f t="shared" ref="J144:K144" si="182">SUM(J15:J25,J28:J31,J33,J41:J42,J45,J47)</f>
        <v>2741.0562</v>
      </c>
      <c r="K144" s="159">
        <f t="shared" si="182"/>
        <v>33197.236199999999</v>
      </c>
      <c r="L144" s="159">
        <f>SUM(L15:L25,L28:L31,L33,L41:L42,L45,L47)</f>
        <v>130284.76999999999</v>
      </c>
      <c r="M144" s="159">
        <f t="shared" ref="M144:N144" si="183">SUM(M15:M25,M28:M31,M33,M41:M42,M45,M47)</f>
        <v>11725.629300000001</v>
      </c>
      <c r="N144" s="159">
        <f t="shared" si="183"/>
        <v>142010.39929999999</v>
      </c>
    </row>
    <row r="145" spans="1:17" x14ac:dyDescent="0.25">
      <c r="A145" s="207"/>
      <c r="B145" s="158"/>
      <c r="C145" s="158"/>
      <c r="D145" s="158"/>
      <c r="E145" s="348"/>
      <c r="F145" s="160"/>
      <c r="G145" s="161"/>
      <c r="H145" s="161" t="s">
        <v>82</v>
      </c>
      <c r="I145" s="159">
        <f>SUM(I143:I144)</f>
        <v>345462.3</v>
      </c>
      <c r="J145" s="159">
        <f t="shared" ref="J145:K145" si="184">SUM(J143:J144)</f>
        <v>31091.606999999993</v>
      </c>
      <c r="K145" s="159">
        <f t="shared" si="184"/>
        <v>376553.90699999995</v>
      </c>
      <c r="L145" s="159">
        <f>SUM(L143:L144)</f>
        <v>1041407.45</v>
      </c>
      <c r="M145" s="159">
        <f t="shared" ref="M145" si="185">SUM(M143:M144)</f>
        <v>93726.670499999993</v>
      </c>
      <c r="N145" s="159">
        <f t="shared" ref="N145" si="186">SUM(N143:N144)</f>
        <v>1135134.1205</v>
      </c>
      <c r="O145" s="369">
        <f>O142/B142</f>
        <v>0.25284626581992065</v>
      </c>
      <c r="P145" s="369">
        <f>P142/C142</f>
        <v>0.25284626581992065</v>
      </c>
      <c r="Q145" s="369">
        <f>Q142/D142</f>
        <v>0.25284626581992065</v>
      </c>
    </row>
    <row r="146" spans="1:17" ht="30" x14ac:dyDescent="0.25">
      <c r="A146" s="207"/>
      <c r="B146" s="158"/>
      <c r="C146" s="158"/>
      <c r="D146" s="158"/>
      <c r="E146" s="348"/>
      <c r="F146" s="160"/>
      <c r="G146" s="161"/>
      <c r="H146" s="161" t="s">
        <v>273</v>
      </c>
      <c r="I146" s="369">
        <f>I143/B142</f>
        <v>0.16970447213776071</v>
      </c>
      <c r="J146" s="369">
        <f t="shared" ref="J146:K146" si="187">J143/C142</f>
        <v>0.16970447213776069</v>
      </c>
      <c r="K146" s="369">
        <f t="shared" si="187"/>
        <v>0.16970447213776069</v>
      </c>
      <c r="L146" s="369">
        <f>L143/B142</f>
        <v>0.49085266490105611</v>
      </c>
      <c r="M146" s="369">
        <f t="shared" ref="M146:N146" si="188">M143/C142</f>
        <v>0.49085266490105611</v>
      </c>
      <c r="N146" s="369">
        <f t="shared" si="188"/>
        <v>0.49085266490105606</v>
      </c>
    </row>
    <row r="147" spans="1:17" x14ac:dyDescent="0.25">
      <c r="A147" s="207"/>
      <c r="B147" s="158"/>
      <c r="C147" s="158"/>
      <c r="D147" s="158"/>
      <c r="E147" s="348"/>
      <c r="F147" s="160"/>
      <c r="G147" s="161"/>
      <c r="H147" s="161" t="s">
        <v>151</v>
      </c>
      <c r="I147" s="369">
        <f>I144/B142</f>
        <v>1.6407776300449737E-2</v>
      </c>
      <c r="J147" s="369">
        <f t="shared" ref="J147:K147" si="189">J144/C142</f>
        <v>1.6407776300449737E-2</v>
      </c>
      <c r="K147" s="369">
        <f t="shared" si="189"/>
        <v>1.6407776300449733E-2</v>
      </c>
      <c r="L147" s="379">
        <f>L144/B142</f>
        <v>7.0188820840812752E-2</v>
      </c>
      <c r="M147" s="379">
        <f t="shared" ref="M147:N147" si="190">M144/C142</f>
        <v>7.0188820840812766E-2</v>
      </c>
      <c r="N147" s="379">
        <f t="shared" si="190"/>
        <v>7.0188820840812752E-2</v>
      </c>
    </row>
  </sheetData>
  <sheetProtection password="D297" sheet="1" objects="1" scenarios="1"/>
  <pageMargins left="0.7" right="0.7" top="0.75" bottom="0.75" header="0.3" footer="0.3"/>
  <pageSetup paperSize="5" scale="62" fitToHeight="0" orientation="landscape" r:id="rId1"/>
  <rowBreaks count="1" manualBreakCount="1">
    <brk id="9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topLeftCell="A13" workbookViewId="0">
      <selection activeCell="A6" sqref="A6"/>
    </sheetView>
  </sheetViews>
  <sheetFormatPr defaultRowHeight="15" x14ac:dyDescent="0.25"/>
  <cols>
    <col min="1" max="1" width="67.7109375" style="324" customWidth="1"/>
    <col min="2" max="4" width="14.5703125" style="325" customWidth="1"/>
    <col min="5" max="5" width="15.42578125" style="325" customWidth="1"/>
    <col min="6" max="8" width="14.5703125" style="325" customWidth="1"/>
    <col min="10" max="10" width="1.5703125" style="340" customWidth="1"/>
    <col min="11" max="11" width="73.85546875" bestFit="1" customWidth="1"/>
    <col min="12" max="18" width="15" style="31" customWidth="1"/>
    <col min="20" max="20" width="1.5703125" style="340" customWidth="1"/>
    <col min="21" max="21" width="73.85546875" bestFit="1" customWidth="1"/>
    <col min="22" max="24" width="14.140625" style="31" customWidth="1"/>
    <col min="25" max="25" width="15.28515625" style="31" customWidth="1"/>
    <col min="26" max="28" width="14.140625" style="31" customWidth="1"/>
  </cols>
  <sheetData>
    <row r="1" spans="1:29" x14ac:dyDescent="0.25">
      <c r="A1" s="397" t="s">
        <v>268</v>
      </c>
      <c r="B1" s="397"/>
      <c r="C1" s="397"/>
      <c r="D1" s="397"/>
      <c r="E1" s="397"/>
      <c r="F1" s="397"/>
      <c r="G1" s="397"/>
      <c r="H1" s="397"/>
      <c r="I1" s="397"/>
      <c r="K1" s="397" t="s">
        <v>269</v>
      </c>
      <c r="L1" s="397"/>
      <c r="M1" s="397"/>
      <c r="N1" s="397"/>
      <c r="O1" s="397"/>
      <c r="P1" s="397"/>
      <c r="Q1" s="397"/>
      <c r="R1" s="397"/>
      <c r="S1" s="397"/>
      <c r="U1" s="397" t="s">
        <v>270</v>
      </c>
      <c r="V1" s="397"/>
      <c r="W1" s="397"/>
      <c r="X1" s="397"/>
      <c r="Y1" s="397"/>
      <c r="Z1" s="397"/>
      <c r="AA1" s="397"/>
      <c r="AB1" s="397"/>
      <c r="AC1" s="397"/>
    </row>
    <row r="2" spans="1:29" ht="30" x14ac:dyDescent="0.25">
      <c r="A2" s="327" t="s">
        <v>150</v>
      </c>
      <c r="B2" s="328" t="s">
        <v>84</v>
      </c>
      <c r="C2" s="328" t="s">
        <v>236</v>
      </c>
      <c r="D2" s="329" t="s">
        <v>85</v>
      </c>
      <c r="K2" s="345" t="s">
        <v>111</v>
      </c>
      <c r="L2" s="362" t="s">
        <v>84</v>
      </c>
      <c r="M2" s="362" t="s">
        <v>236</v>
      </c>
      <c r="N2" s="363" t="s">
        <v>85</v>
      </c>
      <c r="U2" s="345" t="s">
        <v>87</v>
      </c>
      <c r="V2" s="362" t="s">
        <v>84</v>
      </c>
      <c r="W2" s="362" t="s">
        <v>236</v>
      </c>
      <c r="X2" s="363" t="s">
        <v>85</v>
      </c>
    </row>
    <row r="3" spans="1:29" x14ac:dyDescent="0.25">
      <c r="A3" s="330" t="s">
        <v>2</v>
      </c>
      <c r="B3" s="341">
        <f>'2. FY16 Final Budget 18.77.5'!I137/'2. FY16 Final Budget 18.77.5'!B137</f>
        <v>0.2479672942636463</v>
      </c>
      <c r="C3" s="341">
        <f>'2. FY16 Final Budget 18.77.5'!J137/'2. FY16 Final Budget 18.77.5'!C137</f>
        <v>0.2479672942636463</v>
      </c>
      <c r="D3" s="342">
        <f>'2. FY16 Final Budget 18.77.5'!K137/'2. FY16 Final Budget 18.77.5'!D137</f>
        <v>0.24796729426364628</v>
      </c>
      <c r="K3" s="145" t="s">
        <v>2</v>
      </c>
      <c r="L3" s="351">
        <f>'3. FY17 Final Budget 18.77.5'!I139/'3. FY17 Final Budget 18.77.5'!B139</f>
        <v>0.19321513928688541</v>
      </c>
      <c r="M3" s="351">
        <f>'3. FY17 Final Budget 18.77.5'!J139/'3. FY17 Final Budget 18.77.5'!C139</f>
        <v>0.19321513928688544</v>
      </c>
      <c r="N3" s="352">
        <f>'3. FY17 Final Budget 18.77.5'!K139/'3. FY17 Final Budget 18.77.5'!D139</f>
        <v>0.19321513928688538</v>
      </c>
      <c r="U3" s="145" t="s">
        <v>2</v>
      </c>
      <c r="V3" s="351">
        <f>'4. FY18 Budget 18.77.5'!$I$142/'4. FY18 Budget 18.77.5'!$B$142</f>
        <v>0.18611224843821045</v>
      </c>
      <c r="W3" s="351">
        <f>'4. FY18 Budget 18.77.5'!$J$142/'4. FY18 Budget 18.77.5'!$C$142</f>
        <v>0.18611224843821045</v>
      </c>
      <c r="X3" s="352">
        <f>'4. FY18 Budget 18.77.5'!$K$142/'4. FY18 Budget 18.77.5'!$D$142</f>
        <v>0.18611224843821045</v>
      </c>
    </row>
    <row r="4" spans="1:29" x14ac:dyDescent="0.25">
      <c r="A4" s="330" t="s">
        <v>3</v>
      </c>
      <c r="B4" s="341">
        <f>'2. FY16 Final Budget 18.77.5'!L137/'2. FY16 Final Budget 18.77.5'!B137</f>
        <v>0.53407135018244456</v>
      </c>
      <c r="C4" s="341">
        <f>'2. FY16 Final Budget 18.77.5'!M137/'2. FY16 Final Budget 18.77.5'!C137</f>
        <v>0.53407135018244467</v>
      </c>
      <c r="D4" s="342">
        <f>'2. FY16 Final Budget 18.77.5'!N137/'2. FY16 Final Budget 18.77.5'!D137</f>
        <v>0.53407135018244445</v>
      </c>
      <c r="K4" s="145" t="s">
        <v>3</v>
      </c>
      <c r="L4" s="351">
        <f>'3. FY17 Final Budget 18.77.5'!L139/'3. FY17 Final Budget 18.77.5'!B139</f>
        <v>0.57829271691405126</v>
      </c>
      <c r="M4" s="351">
        <f>'3. FY17 Final Budget 18.77.5'!M139/'3. FY17 Final Budget 18.77.5'!C139</f>
        <v>0.57829271691405137</v>
      </c>
      <c r="N4" s="352">
        <f>'3. FY17 Final Budget 18.77.5'!N139/'3. FY17 Final Budget 18.77.5'!D139</f>
        <v>0.57829271691405126</v>
      </c>
      <c r="U4" s="145" t="s">
        <v>3</v>
      </c>
      <c r="V4" s="351">
        <f>'4. FY18 Budget 18.77.5'!$L$142/'4. FY18 Budget 18.77.5'!$B$142</f>
        <v>0.56104148574186885</v>
      </c>
      <c r="W4" s="351">
        <f>'4. FY18 Budget 18.77.5'!$M$142/'4. FY18 Budget 18.77.5'!$C$142</f>
        <v>0.56104148574186885</v>
      </c>
      <c r="X4" s="352">
        <f>'4. FY18 Budget 18.77.5'!$N$142/'4. FY18 Budget 18.77.5'!$D$142</f>
        <v>0.56104148574186885</v>
      </c>
    </row>
    <row r="5" spans="1:29" x14ac:dyDescent="0.25">
      <c r="A5" s="332" t="s">
        <v>187</v>
      </c>
      <c r="B5" s="343">
        <f>'2. FY16 Final Budget 18.77.5'!O137/'2. FY16 Final Budget 18.77.5'!B137</f>
        <v>0.21796135555390914</v>
      </c>
      <c r="C5" s="343">
        <f>'2. FY16 Final Budget 18.77.5'!P137/'2. FY16 Final Budget 18.77.5'!C137</f>
        <v>0.21796135555390911</v>
      </c>
      <c r="D5" s="344">
        <f>'2. FY16 Final Budget 18.77.5'!Q137/'2. FY16 Final Budget 18.77.5'!D137</f>
        <v>0.21796135555390914</v>
      </c>
      <c r="K5" s="353" t="s">
        <v>187</v>
      </c>
      <c r="L5" s="354">
        <f>'3. FY17 Final Budget 18.77.5'!O139/'3. FY17 Final Budget 18.77.5'!B139</f>
        <v>0.22849214379906332</v>
      </c>
      <c r="M5" s="354">
        <f>'3. FY17 Final Budget 18.77.5'!P139/'3. FY17 Final Budget 18.77.5'!C139</f>
        <v>0.22849214379906335</v>
      </c>
      <c r="N5" s="355">
        <f>'3. FY17 Final Budget 18.77.5'!Q139/'3. FY17 Final Budget 18.77.5'!D139</f>
        <v>0.22849214379906327</v>
      </c>
      <c r="U5" s="353" t="s">
        <v>187</v>
      </c>
      <c r="V5" s="354">
        <f>'4. FY18 Budget 18.77.5'!$O$142/'4. FY18 Budget 18.77.5'!$B$142</f>
        <v>0.25284626581992065</v>
      </c>
      <c r="W5" s="354">
        <f>'4. FY18 Budget 18.77.5'!$P$142/'4. FY18 Budget 18.77.5'!$C$142</f>
        <v>0.25284626581992065</v>
      </c>
      <c r="X5" s="355">
        <f>'4. FY18 Budget 18.77.5'!$Q$142/'4. FY18 Budget 18.77.5'!$D$142</f>
        <v>0.25284626581992065</v>
      </c>
    </row>
    <row r="7" spans="1:29" ht="30" customHeight="1" x14ac:dyDescent="0.25">
      <c r="A7" s="327" t="s">
        <v>291</v>
      </c>
      <c r="B7" s="395" t="s">
        <v>94</v>
      </c>
      <c r="C7" s="395"/>
      <c r="D7" s="395"/>
      <c r="E7" s="395"/>
      <c r="F7" s="395"/>
      <c r="G7" s="395"/>
      <c r="H7" s="396"/>
      <c r="K7" s="345" t="s">
        <v>292</v>
      </c>
      <c r="L7" s="402" t="s">
        <v>94</v>
      </c>
      <c r="M7" s="402"/>
      <c r="N7" s="402"/>
      <c r="O7" s="402"/>
      <c r="P7" s="402"/>
      <c r="Q7" s="402"/>
      <c r="R7" s="403"/>
      <c r="U7" s="345" t="s">
        <v>293</v>
      </c>
      <c r="V7" s="398" t="s">
        <v>94</v>
      </c>
      <c r="W7" s="398"/>
      <c r="X7" s="398"/>
      <c r="Y7" s="398"/>
      <c r="Z7" s="398"/>
      <c r="AA7" s="398"/>
      <c r="AB7" s="399"/>
    </row>
    <row r="8" spans="1:29" ht="45" x14ac:dyDescent="0.25">
      <c r="A8" s="334" t="s">
        <v>88</v>
      </c>
      <c r="B8" s="333" t="s">
        <v>275</v>
      </c>
      <c r="C8" s="333" t="s">
        <v>276</v>
      </c>
      <c r="D8" s="333" t="s">
        <v>154</v>
      </c>
      <c r="E8" s="333" t="s">
        <v>278</v>
      </c>
      <c r="F8" s="333" t="s">
        <v>237</v>
      </c>
      <c r="G8" s="333" t="s">
        <v>198</v>
      </c>
      <c r="H8" s="335" t="s">
        <v>97</v>
      </c>
      <c r="K8" s="143" t="s">
        <v>88</v>
      </c>
      <c r="L8" s="371" t="s">
        <v>275</v>
      </c>
      <c r="M8" s="371" t="s">
        <v>276</v>
      </c>
      <c r="N8" s="371" t="s">
        <v>154</v>
      </c>
      <c r="O8" s="371" t="s">
        <v>278</v>
      </c>
      <c r="P8" s="356" t="s">
        <v>237</v>
      </c>
      <c r="Q8" s="356" t="s">
        <v>198</v>
      </c>
      <c r="R8" s="357" t="s">
        <v>97</v>
      </c>
      <c r="U8" s="146" t="s">
        <v>88</v>
      </c>
      <c r="V8" s="371" t="s">
        <v>275</v>
      </c>
      <c r="W8" s="371" t="s">
        <v>276</v>
      </c>
      <c r="X8" s="371" t="s">
        <v>154</v>
      </c>
      <c r="Y8" s="371" t="s">
        <v>278</v>
      </c>
      <c r="Z8" s="346" t="s">
        <v>237</v>
      </c>
      <c r="AA8" s="346" t="s">
        <v>198</v>
      </c>
      <c r="AB8" s="347" t="s">
        <v>97</v>
      </c>
    </row>
    <row r="9" spans="1:29" x14ac:dyDescent="0.25">
      <c r="A9" s="330" t="s">
        <v>116</v>
      </c>
      <c r="B9" s="338">
        <f>'2. FY16 Final Budget 18.77.5'!$K$138/31*19</f>
        <v>264913.11407096777</v>
      </c>
      <c r="C9" s="338">
        <f>'2. FY16 Final Budget 18.77.5'!$K$139/31*19</f>
        <v>21285.85825161291</v>
      </c>
      <c r="D9" s="338">
        <v>208900</v>
      </c>
      <c r="E9" s="338">
        <v>264300</v>
      </c>
      <c r="F9" s="338">
        <v>160000</v>
      </c>
      <c r="G9" s="338">
        <f>2530440-'5. FY16-18 Science Budget'!F9-'5. FY16-18 Science Budget'!E9-'5. FY16-18 Science Budget'!D9</f>
        <v>1897240</v>
      </c>
      <c r="H9" s="339">
        <f>SUM(B9:G9)</f>
        <v>2816638.9723225804</v>
      </c>
      <c r="K9" s="145" t="s">
        <v>92</v>
      </c>
      <c r="L9" s="348">
        <f>'3. FY17 Final Budget 18.77.5'!$K$140/23*13</f>
        <v>166137.17538260866</v>
      </c>
      <c r="M9" s="348">
        <f>'3. FY17 Final Budget 18.77.5'!$K$141/23*13</f>
        <v>20088.74739130435</v>
      </c>
      <c r="N9" s="348">
        <v>188200</v>
      </c>
      <c r="O9" s="348">
        <v>254200</v>
      </c>
      <c r="P9" s="348">
        <v>101500</v>
      </c>
      <c r="Q9" s="348">
        <f>2278750-P9-O9-N9</f>
        <v>1734850</v>
      </c>
      <c r="R9" s="349">
        <f>SUM(L9:Q9)</f>
        <v>2464975.922773913</v>
      </c>
      <c r="U9" s="145" t="s">
        <v>92</v>
      </c>
      <c r="V9" s="348">
        <f>'4. FY18 Budget 18.77.5'!$K$143/23*13</f>
        <v>194071.16175652173</v>
      </c>
      <c r="W9" s="348">
        <f>'4. FY18 Budget 18.77.5'!$K$144/23*13</f>
        <v>18763.655243478261</v>
      </c>
      <c r="X9" s="348">
        <v>212600</v>
      </c>
      <c r="Y9" s="348">
        <v>254190</v>
      </c>
      <c r="Z9" s="348">
        <v>102600</v>
      </c>
      <c r="AA9" s="348">
        <f>2574860-Z9-Y9-X9</f>
        <v>2005470</v>
      </c>
      <c r="AB9" s="349">
        <f>SUM(V9:AA9)</f>
        <v>2787694.8169999998</v>
      </c>
    </row>
    <row r="10" spans="1:29" x14ac:dyDescent="0.25">
      <c r="A10" s="330" t="s">
        <v>139</v>
      </c>
      <c r="B10" s="338">
        <f>'2. FY16 Final Budget 18.77.5'!$K$138/31*11</f>
        <v>153370.75025161292</v>
      </c>
      <c r="C10" s="338">
        <f>'2. FY16 Final Budget 18.77.5'!$K$139/31*11</f>
        <v>12323.391619354843</v>
      </c>
      <c r="D10" s="338">
        <v>102494.39999999999</v>
      </c>
      <c r="E10" s="338">
        <v>310627</v>
      </c>
      <c r="F10" s="338">
        <v>144370</v>
      </c>
      <c r="G10" s="338">
        <v>683829.99999999988</v>
      </c>
      <c r="H10" s="339">
        <f t="shared" ref="H10:H12" si="0">SUM(B10:G10)</f>
        <v>1407015.5418709675</v>
      </c>
      <c r="K10" s="145" t="s">
        <v>93</v>
      </c>
      <c r="L10" s="348">
        <f>'3. FY17 Final Budget 18.77.5'!$K$140/23*7</f>
        <v>89458.479052173891</v>
      </c>
      <c r="M10" s="348">
        <f>'3. FY17 Final Budget 18.77.5'!$K$141/23*7</f>
        <v>10817.017826086958</v>
      </c>
      <c r="N10" s="348">
        <v>103500</v>
      </c>
      <c r="O10" s="348">
        <v>127000</v>
      </c>
      <c r="P10" s="348">
        <v>200100</v>
      </c>
      <c r="Q10" s="348">
        <f>1252900-P10-O10-N10</f>
        <v>822300</v>
      </c>
      <c r="R10" s="349">
        <f t="shared" ref="R10:R13" si="1">SUM(L10:Q10)</f>
        <v>1353175.4968782607</v>
      </c>
      <c r="U10" s="145" t="s">
        <v>93</v>
      </c>
      <c r="V10" s="348">
        <f>'4. FY18 Budget 18.77.5'!$K$143/23*7</f>
        <v>104499.85633043478</v>
      </c>
      <c r="W10" s="348">
        <f>'4. FY18 Budget 18.77.5'!$K$144/23*7</f>
        <v>10103.506669565217</v>
      </c>
      <c r="X10" s="348">
        <v>130100</v>
      </c>
      <c r="Y10" s="348">
        <f>247800-161500</f>
        <v>86300</v>
      </c>
      <c r="Z10" s="348">
        <v>274100</v>
      </c>
      <c r="AA10" s="348">
        <f>1576200-Z10-Y10-X10</f>
        <v>1085700</v>
      </c>
      <c r="AB10" s="349">
        <f t="shared" ref="AB10:AB14" si="2">SUM(V10:AA10)</f>
        <v>1690803.3629999999</v>
      </c>
    </row>
    <row r="11" spans="1:29" x14ac:dyDescent="0.25">
      <c r="A11" s="330" t="s">
        <v>91</v>
      </c>
      <c r="B11" s="338">
        <f>'2. FY16 Final Budget 18.77.5'!$K$138/31</f>
        <v>13942.795477419355</v>
      </c>
      <c r="C11" s="338">
        <f>'2. FY16 Final Budget 18.77.5'!$K$139/31</f>
        <v>1120.3083290322584</v>
      </c>
      <c r="D11" s="338">
        <v>17756.8</v>
      </c>
      <c r="E11" s="338">
        <v>0</v>
      </c>
      <c r="F11" s="338">
        <v>0</v>
      </c>
      <c r="G11" s="338">
        <v>197297.7</v>
      </c>
      <c r="H11" s="339">
        <f t="shared" si="0"/>
        <v>230117.60380645163</v>
      </c>
      <c r="K11" s="145" t="s">
        <v>89</v>
      </c>
      <c r="L11" s="348">
        <f>'3. FY17 Final Budget 18.77.5'!$K$140/23</f>
        <v>12779.782721739128</v>
      </c>
      <c r="M11" s="348">
        <f>'3. FY17 Final Budget 18.77.5'!$K$141/23</f>
        <v>1545.2882608695654</v>
      </c>
      <c r="N11" s="348">
        <v>18000</v>
      </c>
      <c r="O11" s="348">
        <v>0</v>
      </c>
      <c r="P11" s="348">
        <v>0</v>
      </c>
      <c r="Q11" s="348">
        <f>218000-P11-O11-N11</f>
        <v>200000</v>
      </c>
      <c r="R11" s="349">
        <f t="shared" si="1"/>
        <v>232325.07098260868</v>
      </c>
      <c r="U11" s="145" t="s">
        <v>89</v>
      </c>
      <c r="V11" s="348">
        <f>'4. FY18 Budget 18.77.5'!$K$143/23</f>
        <v>14928.550904347825</v>
      </c>
      <c r="W11" s="348">
        <f>'4. FY18 Budget 18.77.5'!$K$144/23</f>
        <v>1443.3580956521739</v>
      </c>
      <c r="X11" s="348">
        <v>18000</v>
      </c>
      <c r="Y11" s="348">
        <v>0</v>
      </c>
      <c r="Z11" s="348">
        <v>0</v>
      </c>
      <c r="AA11" s="348">
        <f>218000-Z11-Y11-X11</f>
        <v>200000</v>
      </c>
      <c r="AB11" s="349">
        <f t="shared" si="2"/>
        <v>234371.90899999999</v>
      </c>
    </row>
    <row r="12" spans="1:29" x14ac:dyDescent="0.25">
      <c r="A12" s="330" t="s">
        <v>82</v>
      </c>
      <c r="B12" s="338">
        <f>SUM(B9:B11)</f>
        <v>432226.65980000002</v>
      </c>
      <c r="C12" s="338">
        <f t="shared" ref="C12:G12" si="3">SUM(C9:C11)</f>
        <v>34729.558200000014</v>
      </c>
      <c r="D12" s="338">
        <f t="shared" si="3"/>
        <v>329151.2</v>
      </c>
      <c r="E12" s="338">
        <f t="shared" si="3"/>
        <v>574927</v>
      </c>
      <c r="F12" s="338">
        <f t="shared" si="3"/>
        <v>304370</v>
      </c>
      <c r="G12" s="338">
        <f t="shared" si="3"/>
        <v>2778367.7</v>
      </c>
      <c r="H12" s="339">
        <f t="shared" si="0"/>
        <v>4453772.1180000007</v>
      </c>
      <c r="K12" s="145" t="s">
        <v>90</v>
      </c>
      <c r="L12" s="348">
        <f>'3. FY17 Final Budget 18.77.5'!$K$140/23</f>
        <v>12779.782721739128</v>
      </c>
      <c r="M12" s="348">
        <f>'3. FY17 Final Budget 18.77.5'!$K$141/23</f>
        <v>1545.2882608695654</v>
      </c>
      <c r="N12" s="348">
        <v>11817.5</v>
      </c>
      <c r="O12" s="348">
        <v>0</v>
      </c>
      <c r="P12" s="348">
        <v>74844.399999999994</v>
      </c>
      <c r="Q12" s="348">
        <f>217968-P12-O12-N12</f>
        <v>131306.1</v>
      </c>
      <c r="R12" s="349">
        <f t="shared" si="1"/>
        <v>232293.07098260871</v>
      </c>
      <c r="U12" s="145" t="s">
        <v>90</v>
      </c>
      <c r="V12" s="348">
        <f>'4. FY18 Budget 18.77.5'!$K$143/23</f>
        <v>14928.550904347825</v>
      </c>
      <c r="W12" s="348">
        <f>'4. FY18 Budget 18.77.5'!$K$144/23</f>
        <v>1443.3580956521739</v>
      </c>
      <c r="X12" s="348">
        <v>40685.800000000003</v>
      </c>
      <c r="Y12" s="348">
        <v>0</v>
      </c>
      <c r="Z12" s="348">
        <v>163503</v>
      </c>
      <c r="AA12" s="348">
        <f>492750.4-Z12-Y12-X12</f>
        <v>288561.60000000003</v>
      </c>
      <c r="AB12" s="349">
        <f t="shared" si="2"/>
        <v>509122.30900000001</v>
      </c>
    </row>
    <row r="13" spans="1:29" x14ac:dyDescent="0.25">
      <c r="A13" s="330"/>
      <c r="B13" s="377"/>
      <c r="C13" s="326"/>
      <c r="D13" s="326"/>
      <c r="E13" s="326"/>
      <c r="F13" s="326"/>
      <c r="G13" s="326"/>
      <c r="H13" s="331"/>
      <c r="K13" s="145" t="s">
        <v>91</v>
      </c>
      <c r="L13" s="348">
        <f>'3. FY17 Final Budget 18.77.5'!$K$140/23</f>
        <v>12779.782721739128</v>
      </c>
      <c r="M13" s="348">
        <f>'3. FY17 Final Budget 18.77.5'!$K$141/23</f>
        <v>1545.2882608695654</v>
      </c>
      <c r="N13" s="348">
        <v>12367</v>
      </c>
      <c r="O13" s="348">
        <v>0</v>
      </c>
      <c r="P13" s="348">
        <v>0</v>
      </c>
      <c r="Q13" s="348">
        <f>149777.7-P13-O13-N13</f>
        <v>137410.70000000001</v>
      </c>
      <c r="R13" s="349">
        <f t="shared" si="1"/>
        <v>164102.77098260869</v>
      </c>
      <c r="U13" s="145" t="s">
        <v>91</v>
      </c>
      <c r="V13" s="348">
        <f>'4. FY18 Budget 18.77.5'!$K$143/23</f>
        <v>14928.550904347825</v>
      </c>
      <c r="W13" s="348">
        <f>'4. FY18 Budget 18.77.5'!$K$144/23</f>
        <v>1443.3580956521739</v>
      </c>
      <c r="X13" s="348">
        <v>14320.5</v>
      </c>
      <c r="Y13" s="348">
        <v>0</v>
      </c>
      <c r="Z13" s="348">
        <v>0</v>
      </c>
      <c r="AA13" s="348">
        <f>173437.4-Z13-Y13-X13</f>
        <v>159116.9</v>
      </c>
      <c r="AB13" s="349">
        <f t="shared" si="2"/>
        <v>189809.30900000001</v>
      </c>
    </row>
    <row r="14" spans="1:29" x14ac:dyDescent="0.25">
      <c r="A14" s="334"/>
      <c r="B14" s="393" t="s">
        <v>96</v>
      </c>
      <c r="C14" s="393"/>
      <c r="D14" s="393"/>
      <c r="E14" s="393"/>
      <c r="F14" s="393"/>
      <c r="G14" s="393"/>
      <c r="H14" s="394"/>
      <c r="K14" s="145" t="s">
        <v>82</v>
      </c>
      <c r="L14" s="348">
        <f>SUM(L9:L13)</f>
        <v>293935.00260000001</v>
      </c>
      <c r="M14" s="348">
        <f t="shared" ref="M14:Q14" si="4">SUM(M9:M13)</f>
        <v>35541.630000000005</v>
      </c>
      <c r="N14" s="348">
        <f t="shared" si="4"/>
        <v>333884.5</v>
      </c>
      <c r="O14" s="348">
        <f t="shared" si="4"/>
        <v>381200</v>
      </c>
      <c r="P14" s="348">
        <f t="shared" si="4"/>
        <v>376444.4</v>
      </c>
      <c r="Q14" s="348">
        <f t="shared" si="4"/>
        <v>3025866.8000000003</v>
      </c>
      <c r="R14" s="349">
        <f>SUM(L14:Q14)</f>
        <v>4446872.3326000003</v>
      </c>
      <c r="U14" s="145" t="s">
        <v>82</v>
      </c>
      <c r="V14" s="348">
        <f>SUM(V9:V13)</f>
        <v>343356.67080000008</v>
      </c>
      <c r="W14" s="348">
        <f t="shared" ref="W14:AA14" si="5">SUM(W9:W13)</f>
        <v>33197.236199999999</v>
      </c>
      <c r="X14" s="348">
        <f t="shared" si="5"/>
        <v>415706.3</v>
      </c>
      <c r="Y14" s="348">
        <f t="shared" si="5"/>
        <v>340490</v>
      </c>
      <c r="Z14" s="348">
        <f t="shared" si="5"/>
        <v>540203</v>
      </c>
      <c r="AA14" s="348">
        <f t="shared" si="5"/>
        <v>3738848.5</v>
      </c>
      <c r="AB14" s="349">
        <f t="shared" si="2"/>
        <v>5411801.7070000004</v>
      </c>
    </row>
    <row r="15" spans="1:29" ht="33" customHeight="1" x14ac:dyDescent="0.25">
      <c r="A15" s="334" t="s">
        <v>88</v>
      </c>
      <c r="B15" s="371" t="s">
        <v>275</v>
      </c>
      <c r="C15" s="371" t="s">
        <v>276</v>
      </c>
      <c r="D15" s="333" t="s">
        <v>154</v>
      </c>
      <c r="E15" s="371" t="s">
        <v>278</v>
      </c>
      <c r="F15" s="333" t="s">
        <v>237</v>
      </c>
      <c r="G15" s="333" t="s">
        <v>198</v>
      </c>
      <c r="H15" s="335" t="s">
        <v>97</v>
      </c>
      <c r="K15" s="145"/>
      <c r="L15" s="218"/>
      <c r="M15" s="218"/>
      <c r="N15" s="218"/>
      <c r="O15" s="218"/>
      <c r="P15" s="218"/>
      <c r="Q15" s="218"/>
      <c r="R15" s="350"/>
      <c r="U15" s="145"/>
      <c r="V15" s="218"/>
      <c r="W15" s="218"/>
      <c r="X15" s="218"/>
      <c r="Y15" s="218"/>
      <c r="Z15" s="218"/>
      <c r="AA15" s="218"/>
      <c r="AB15" s="350"/>
    </row>
    <row r="16" spans="1:29" x14ac:dyDescent="0.25">
      <c r="A16" s="330" t="s">
        <v>116</v>
      </c>
      <c r="B16" s="341">
        <f>B9/$H9</f>
        <v>9.4052917918877724E-2</v>
      </c>
      <c r="C16" s="341">
        <f t="shared" ref="C16:G16" si="6">C9/$H9</f>
        <v>7.5571837430271523E-3</v>
      </c>
      <c r="D16" s="341">
        <f t="shared" si="6"/>
        <v>7.4166409700616526E-2</v>
      </c>
      <c r="E16" s="341">
        <f t="shared" si="6"/>
        <v>9.383524214395858E-2</v>
      </c>
      <c r="F16" s="341">
        <f t="shared" si="6"/>
        <v>5.6805292255139514E-2</v>
      </c>
      <c r="G16" s="341">
        <f t="shared" si="6"/>
        <v>0.67358295423838055</v>
      </c>
      <c r="H16" s="342">
        <v>1.0076147296541773</v>
      </c>
      <c r="K16" s="145"/>
      <c r="L16" s="404" t="s">
        <v>96</v>
      </c>
      <c r="M16" s="404"/>
      <c r="N16" s="404"/>
      <c r="O16" s="404"/>
      <c r="P16" s="404"/>
      <c r="Q16" s="404"/>
      <c r="R16" s="405"/>
      <c r="U16" s="146"/>
      <c r="V16" s="400" t="s">
        <v>96</v>
      </c>
      <c r="W16" s="400"/>
      <c r="X16" s="400"/>
      <c r="Y16" s="400"/>
      <c r="Z16" s="400"/>
      <c r="AA16" s="400"/>
      <c r="AB16" s="401"/>
    </row>
    <row r="17" spans="1:28" ht="45" x14ac:dyDescent="0.25">
      <c r="A17" s="330" t="s">
        <v>139</v>
      </c>
      <c r="B17" s="341">
        <f t="shared" ref="B17:G17" si="7">B10/$H10</f>
        <v>0.10900430427916198</v>
      </c>
      <c r="C17" s="341">
        <f t="shared" si="7"/>
        <v>8.758532690383727E-3</v>
      </c>
      <c r="D17" s="341">
        <f t="shared" si="7"/>
        <v>7.2845250780747522E-2</v>
      </c>
      <c r="E17" s="341">
        <f t="shared" si="7"/>
        <v>0.22077012709251689</v>
      </c>
      <c r="F17" s="341">
        <f t="shared" si="7"/>
        <v>0.10260725322765459</v>
      </c>
      <c r="G17" s="341">
        <f t="shared" si="7"/>
        <v>0.48601453192953542</v>
      </c>
      <c r="H17" s="342">
        <v>1.0088359224056231</v>
      </c>
      <c r="K17" s="143" t="s">
        <v>88</v>
      </c>
      <c r="L17" s="371" t="s">
        <v>275</v>
      </c>
      <c r="M17" s="371" t="s">
        <v>276</v>
      </c>
      <c r="N17" s="371" t="s">
        <v>154</v>
      </c>
      <c r="O17" s="371" t="s">
        <v>278</v>
      </c>
      <c r="P17" s="356" t="s">
        <v>237</v>
      </c>
      <c r="Q17" s="356" t="s">
        <v>198</v>
      </c>
      <c r="R17" s="357" t="s">
        <v>97</v>
      </c>
      <c r="U17" s="146" t="s">
        <v>88</v>
      </c>
      <c r="V17" s="371" t="s">
        <v>275</v>
      </c>
      <c r="W17" s="371" t="s">
        <v>276</v>
      </c>
      <c r="X17" s="371" t="s">
        <v>154</v>
      </c>
      <c r="Y17" s="371" t="s">
        <v>278</v>
      </c>
      <c r="Z17" s="346" t="s">
        <v>237</v>
      </c>
      <c r="AA17" s="346" t="s">
        <v>198</v>
      </c>
      <c r="AB17" s="347" t="s">
        <v>97</v>
      </c>
    </row>
    <row r="18" spans="1:28" x14ac:dyDescent="0.25">
      <c r="A18" s="330" t="s">
        <v>91</v>
      </c>
      <c r="B18" s="341">
        <f t="shared" ref="B18:G19" si="8">B11/$H11</f>
        <v>6.0589869035601575E-2</v>
      </c>
      <c r="C18" s="341">
        <f t="shared" si="8"/>
        <v>4.8684164553292166E-3</v>
      </c>
      <c r="D18" s="341">
        <f t="shared" si="8"/>
        <v>7.7164022683527372E-2</v>
      </c>
      <c r="E18" s="341">
        <f t="shared" si="8"/>
        <v>0</v>
      </c>
      <c r="F18" s="341">
        <f t="shared" si="8"/>
        <v>0</v>
      </c>
      <c r="G18" s="341">
        <f t="shared" si="8"/>
        <v>0.8573776918255418</v>
      </c>
      <c r="H18" s="342">
        <v>1.0048922338872894</v>
      </c>
      <c r="K18" s="145" t="s">
        <v>92</v>
      </c>
      <c r="L18" s="358">
        <f>L9/$R9</f>
        <v>6.7399106761111646E-2</v>
      </c>
      <c r="M18" s="358">
        <f t="shared" ref="M18:Q18" si="9">M9/$R9</f>
        <v>8.1496728652415661E-3</v>
      </c>
      <c r="N18" s="358">
        <f t="shared" si="9"/>
        <v>7.634963013683832E-2</v>
      </c>
      <c r="O18" s="358">
        <f t="shared" si="9"/>
        <v>0.1031247395365797</v>
      </c>
      <c r="P18" s="358">
        <f t="shared" si="9"/>
        <v>4.1176872788996226E-2</v>
      </c>
      <c r="Q18" s="358">
        <f t="shared" si="9"/>
        <v>0.7037999779112325</v>
      </c>
      <c r="R18" s="364">
        <f>SUM(L18:Q18)</f>
        <v>1</v>
      </c>
      <c r="U18" s="145" t="s">
        <v>92</v>
      </c>
      <c r="V18" s="358">
        <f>V9/$AB9</f>
        <v>6.9617075934220438E-2</v>
      </c>
      <c r="W18" s="358">
        <f t="shared" ref="W18:AA18" si="10">W9/$AB9</f>
        <v>6.7308857228751172E-3</v>
      </c>
      <c r="X18" s="358">
        <f t="shared" si="10"/>
        <v>7.6263728261614802E-2</v>
      </c>
      <c r="Y18" s="358">
        <f t="shared" si="10"/>
        <v>9.1182864942708691E-2</v>
      </c>
      <c r="Z18" s="358">
        <f t="shared" si="10"/>
        <v>3.6804602632369142E-2</v>
      </c>
      <c r="AA18" s="358">
        <f t="shared" si="10"/>
        <v>0.71940084250621184</v>
      </c>
      <c r="AB18" s="359">
        <f>SUM(V18:AA18)</f>
        <v>1</v>
      </c>
    </row>
    <row r="19" spans="1:28" x14ac:dyDescent="0.25">
      <c r="A19" s="332" t="s">
        <v>141</v>
      </c>
      <c r="B19" s="343">
        <f t="shared" si="8"/>
        <v>9.7047322662322161E-2</v>
      </c>
      <c r="C19" s="343">
        <f t="shared" si="8"/>
        <v>7.7977851762194737E-3</v>
      </c>
      <c r="D19" s="343">
        <f t="shared" si="8"/>
        <v>7.3903915889573582E-2</v>
      </c>
      <c r="E19" s="343">
        <f t="shared" si="8"/>
        <v>0.12908765531052255</v>
      </c>
      <c r="F19" s="343">
        <f t="shared" si="8"/>
        <v>6.8339823398211846E-2</v>
      </c>
      <c r="G19" s="343">
        <f t="shared" si="8"/>
        <v>0.62382349756315025</v>
      </c>
      <c r="H19" s="344">
        <v>0.99999999999999989</v>
      </c>
      <c r="K19" s="145" t="s">
        <v>93</v>
      </c>
      <c r="L19" s="358">
        <f t="shared" ref="L19:Q19" si="11">L10/$R10</f>
        <v>6.611003469878976E-2</v>
      </c>
      <c r="M19" s="358">
        <f t="shared" si="11"/>
        <v>7.9938026154342326E-3</v>
      </c>
      <c r="N19" s="358">
        <f t="shared" si="11"/>
        <v>7.6486753003414343E-2</v>
      </c>
      <c r="O19" s="358">
        <f t="shared" si="11"/>
        <v>9.3853310448634014E-2</v>
      </c>
      <c r="P19" s="358">
        <f t="shared" si="11"/>
        <v>0.14787438913993439</v>
      </c>
      <c r="Q19" s="358">
        <f t="shared" si="11"/>
        <v>0.60768171009379335</v>
      </c>
      <c r="R19" s="364">
        <f t="shared" ref="R19:R23" si="12">SUM(L19:Q19)</f>
        <v>1</v>
      </c>
      <c r="U19" s="145" t="s">
        <v>93</v>
      </c>
      <c r="V19" s="358">
        <f t="shared" ref="V19:AA19" si="13">V10/$AB10</f>
        <v>6.1804854791050461E-2</v>
      </c>
      <c r="W19" s="358">
        <f t="shared" si="13"/>
        <v>5.9755657521514032E-3</v>
      </c>
      <c r="X19" s="358">
        <f t="shared" si="13"/>
        <v>7.6945671416907405E-2</v>
      </c>
      <c r="Y19" s="358">
        <f t="shared" si="13"/>
        <v>5.1040825851491993E-2</v>
      </c>
      <c r="Z19" s="358">
        <f t="shared" si="13"/>
        <v>0.1621122869744375</v>
      </c>
      <c r="AA19" s="358">
        <f t="shared" si="13"/>
        <v>0.64212079521396126</v>
      </c>
      <c r="AB19" s="359">
        <f t="shared" ref="AB19:AB23" si="14">SUM(V19:AA19)</f>
        <v>1</v>
      </c>
    </row>
    <row r="20" spans="1:28" x14ac:dyDescent="0.25">
      <c r="K20" s="145" t="s">
        <v>89</v>
      </c>
      <c r="L20" s="358">
        <f t="shared" ref="L20:Q20" si="15">L11/$R11</f>
        <v>5.5008194628705369E-2</v>
      </c>
      <c r="M20" s="358">
        <f t="shared" si="15"/>
        <v>6.6514055256018502E-3</v>
      </c>
      <c r="N20" s="358">
        <f t="shared" si="15"/>
        <v>7.7477647693681054E-2</v>
      </c>
      <c r="O20" s="358">
        <f t="shared" si="15"/>
        <v>0</v>
      </c>
      <c r="P20" s="358">
        <f t="shared" si="15"/>
        <v>0</v>
      </c>
      <c r="Q20" s="358">
        <f t="shared" si="15"/>
        <v>0.8608627521520118</v>
      </c>
      <c r="R20" s="364">
        <f t="shared" si="12"/>
        <v>1</v>
      </c>
      <c r="U20" s="145" t="s">
        <v>89</v>
      </c>
      <c r="V20" s="358">
        <f t="shared" ref="V20:AA20" si="16">V11/$AB11</f>
        <v>6.3695990564926558E-2</v>
      </c>
      <c r="W20" s="358">
        <f t="shared" si="16"/>
        <v>6.1584090935239769E-3</v>
      </c>
      <c r="X20" s="358">
        <f t="shared" si="16"/>
        <v>7.6801012872238034E-2</v>
      </c>
      <c r="Y20" s="358">
        <f t="shared" si="16"/>
        <v>0</v>
      </c>
      <c r="Z20" s="358">
        <f t="shared" si="16"/>
        <v>0</v>
      </c>
      <c r="AA20" s="358">
        <f t="shared" si="16"/>
        <v>0.85334458746931152</v>
      </c>
      <c r="AB20" s="359">
        <f t="shared" si="14"/>
        <v>1</v>
      </c>
    </row>
    <row r="21" spans="1:28" x14ac:dyDescent="0.25">
      <c r="A21" s="327" t="s">
        <v>140</v>
      </c>
      <c r="B21" s="395" t="s">
        <v>94</v>
      </c>
      <c r="C21" s="395"/>
      <c r="D21" s="395"/>
      <c r="E21" s="395"/>
      <c r="F21" s="395"/>
      <c r="G21" s="395"/>
      <c r="H21" s="396"/>
      <c r="K21" s="145" t="s">
        <v>90</v>
      </c>
      <c r="L21" s="358">
        <f t="shared" ref="L21:Q21" si="17">L12/$R12</f>
        <v>5.5015772393382852E-2</v>
      </c>
      <c r="M21" s="358">
        <f t="shared" si="17"/>
        <v>6.6523218033707849E-3</v>
      </c>
      <c r="N21" s="358">
        <f t="shared" si="17"/>
        <v>5.0873235047483409E-2</v>
      </c>
      <c r="O21" s="358">
        <f t="shared" si="17"/>
        <v>0</v>
      </c>
      <c r="P21" s="358">
        <f t="shared" si="17"/>
        <v>0.3221981597789606</v>
      </c>
      <c r="Q21" s="358">
        <f t="shared" si="17"/>
        <v>0.5652605109768023</v>
      </c>
      <c r="R21" s="364">
        <f t="shared" si="12"/>
        <v>1</v>
      </c>
      <c r="U21" s="145" t="s">
        <v>90</v>
      </c>
      <c r="V21" s="358">
        <f t="shared" ref="V21:AA21" si="18">V12/$AB12</f>
        <v>2.9322130734498662E-2</v>
      </c>
      <c r="W21" s="358">
        <f t="shared" si="18"/>
        <v>2.8349928300866775E-3</v>
      </c>
      <c r="X21" s="358">
        <f t="shared" si="18"/>
        <v>7.9913606771452636E-2</v>
      </c>
      <c r="Y21" s="358">
        <f t="shared" si="18"/>
        <v>0</v>
      </c>
      <c r="Z21" s="358">
        <f t="shared" si="18"/>
        <v>0.3211467993244036</v>
      </c>
      <c r="AA21" s="358">
        <f t="shared" si="18"/>
        <v>0.56678247033955853</v>
      </c>
      <c r="AB21" s="359">
        <f t="shared" si="14"/>
        <v>1</v>
      </c>
    </row>
    <row r="22" spans="1:28" ht="45" x14ac:dyDescent="0.25">
      <c r="A22" s="334" t="s">
        <v>88</v>
      </c>
      <c r="B22" s="333" t="s">
        <v>200</v>
      </c>
      <c r="C22" s="333"/>
      <c r="E22" s="333" t="s">
        <v>277</v>
      </c>
      <c r="F22" s="333"/>
      <c r="G22" s="333" t="s">
        <v>198</v>
      </c>
      <c r="H22" s="335" t="s">
        <v>97</v>
      </c>
      <c r="K22" s="145" t="s">
        <v>91</v>
      </c>
      <c r="L22" s="358">
        <f t="shared" ref="L22:Q23" si="19">L13/$R13</f>
        <v>7.7876702783364365E-2</v>
      </c>
      <c r="M22" s="358">
        <f t="shared" si="19"/>
        <v>9.4165884684136881E-3</v>
      </c>
      <c r="N22" s="358">
        <f t="shared" si="19"/>
        <v>7.5361311243858475E-2</v>
      </c>
      <c r="O22" s="358">
        <f t="shared" si="19"/>
        <v>0</v>
      </c>
      <c r="P22" s="358">
        <f t="shared" si="19"/>
        <v>0</v>
      </c>
      <c r="Q22" s="358">
        <f t="shared" si="19"/>
        <v>0.83734539750436354</v>
      </c>
      <c r="R22" s="364">
        <f t="shared" si="12"/>
        <v>1</v>
      </c>
      <c r="U22" s="145" t="s">
        <v>91</v>
      </c>
      <c r="V22" s="358">
        <f t="shared" ref="V22:AA22" si="20">V13/$AB13</f>
        <v>7.865025684460937E-2</v>
      </c>
      <c r="W22" s="358">
        <f t="shared" si="20"/>
        <v>7.6042534649982518E-3</v>
      </c>
      <c r="X22" s="358">
        <f t="shared" si="20"/>
        <v>7.5446773793375957E-2</v>
      </c>
      <c r="Y22" s="358">
        <f t="shared" si="20"/>
        <v>0</v>
      </c>
      <c r="Z22" s="358">
        <f t="shared" si="20"/>
        <v>0</v>
      </c>
      <c r="AA22" s="358">
        <f t="shared" si="20"/>
        <v>0.83829871589701632</v>
      </c>
      <c r="AB22" s="359">
        <f t="shared" si="14"/>
        <v>0.99999999999999989</v>
      </c>
    </row>
    <row r="23" spans="1:28" x14ac:dyDescent="0.25">
      <c r="A23" s="330" t="s">
        <v>116</v>
      </c>
      <c r="B23" s="338">
        <f>SUM(B9:D9)</f>
        <v>495098.9723225807</v>
      </c>
      <c r="C23" s="338"/>
      <c r="E23" s="338">
        <f>SUM(E9:F9)</f>
        <v>424300</v>
      </c>
      <c r="F23" s="338"/>
      <c r="G23" s="338">
        <f>G9</f>
        <v>1897240</v>
      </c>
      <c r="H23" s="339">
        <f>H9</f>
        <v>2816638.9723225804</v>
      </c>
      <c r="K23" s="353" t="s">
        <v>141</v>
      </c>
      <c r="L23" s="360">
        <f t="shared" si="19"/>
        <v>6.6099267218706473E-2</v>
      </c>
      <c r="M23" s="360">
        <f t="shared" si="19"/>
        <v>7.9925006480272617E-3</v>
      </c>
      <c r="N23" s="360">
        <f t="shared" si="19"/>
        <v>7.5082996548449188E-2</v>
      </c>
      <c r="O23" s="360">
        <f t="shared" si="19"/>
        <v>8.5723171588584765E-2</v>
      </c>
      <c r="P23" s="360">
        <f t="shared" si="19"/>
        <v>8.4653745788986989E-2</v>
      </c>
      <c r="Q23" s="360">
        <f t="shared" si="19"/>
        <v>0.68044831820724527</v>
      </c>
      <c r="R23" s="365">
        <f t="shared" si="12"/>
        <v>1</v>
      </c>
      <c r="U23" s="353" t="s">
        <v>141</v>
      </c>
      <c r="V23" s="360">
        <f t="shared" ref="V23:AA23" si="21">V14/$AB14</f>
        <v>6.3445907553463882E-2</v>
      </c>
      <c r="W23" s="360">
        <f t="shared" si="21"/>
        <v>6.1342299657913164E-3</v>
      </c>
      <c r="X23" s="360">
        <f t="shared" si="21"/>
        <v>7.6814769370115055E-2</v>
      </c>
      <c r="Y23" s="360">
        <f t="shared" si="21"/>
        <v>6.2916200266463301E-2</v>
      </c>
      <c r="Z23" s="360">
        <f t="shared" si="21"/>
        <v>9.9819437083451132E-2</v>
      </c>
      <c r="AA23" s="360">
        <f t="shared" si="21"/>
        <v>0.69086945576071523</v>
      </c>
      <c r="AB23" s="361">
        <f t="shared" si="14"/>
        <v>0.99999999999999989</v>
      </c>
    </row>
    <row r="24" spans="1:28" x14ac:dyDescent="0.25">
      <c r="A24" s="330" t="s">
        <v>139</v>
      </c>
      <c r="B24" s="338">
        <f t="shared" ref="B24:B25" si="22">SUM(B10:D10)</f>
        <v>268188.54187096772</v>
      </c>
      <c r="C24" s="338"/>
      <c r="E24" s="338">
        <f>SUM(E10:F10)</f>
        <v>454997</v>
      </c>
      <c r="F24" s="338"/>
      <c r="G24" s="338">
        <f t="shared" ref="G24:H26" si="23">G10</f>
        <v>683829.99999999988</v>
      </c>
      <c r="H24" s="339">
        <f t="shared" si="23"/>
        <v>1407015.5418709675</v>
      </c>
    </row>
    <row r="25" spans="1:28" x14ac:dyDescent="0.25">
      <c r="A25" s="330" t="s">
        <v>91</v>
      </c>
      <c r="B25" s="338">
        <f t="shared" si="22"/>
        <v>32819.903806451613</v>
      </c>
      <c r="C25" s="338"/>
      <c r="E25" s="338">
        <f>SUM(E11:F11)</f>
        <v>0</v>
      </c>
      <c r="F25" s="338"/>
      <c r="G25" s="338">
        <f t="shared" si="23"/>
        <v>197297.7</v>
      </c>
      <c r="H25" s="339">
        <f t="shared" si="23"/>
        <v>230117.60380645163</v>
      </c>
      <c r="K25" s="345" t="s">
        <v>112</v>
      </c>
      <c r="L25" s="398" t="s">
        <v>94</v>
      </c>
      <c r="M25" s="398"/>
      <c r="N25" s="398"/>
      <c r="O25" s="398"/>
      <c r="P25" s="398"/>
      <c r="Q25" s="398"/>
      <c r="R25" s="399"/>
      <c r="U25" s="345" t="s">
        <v>95</v>
      </c>
      <c r="V25" s="398" t="s">
        <v>94</v>
      </c>
      <c r="W25" s="398"/>
      <c r="X25" s="398"/>
      <c r="Y25" s="398"/>
      <c r="Z25" s="398"/>
      <c r="AA25" s="398"/>
      <c r="AB25" s="399"/>
    </row>
    <row r="26" spans="1:28" ht="45" x14ac:dyDescent="0.25">
      <c r="A26" s="330" t="s">
        <v>82</v>
      </c>
      <c r="B26" s="338">
        <f>SUM(B23:B25)</f>
        <v>796107.41799999995</v>
      </c>
      <c r="C26" s="338"/>
      <c r="E26" s="338">
        <f>SUM(E23:E25)</f>
        <v>879297</v>
      </c>
      <c r="F26" s="338"/>
      <c r="G26" s="338">
        <f t="shared" si="23"/>
        <v>2778367.7</v>
      </c>
      <c r="H26" s="339">
        <f t="shared" si="23"/>
        <v>4453772.1180000007</v>
      </c>
      <c r="K26" s="146" t="s">
        <v>88</v>
      </c>
      <c r="L26" s="371" t="s">
        <v>200</v>
      </c>
      <c r="M26" s="371"/>
      <c r="N26" s="325"/>
      <c r="O26" s="371" t="s">
        <v>277</v>
      </c>
      <c r="P26" s="346"/>
      <c r="Q26" s="346" t="s">
        <v>198</v>
      </c>
      <c r="R26" s="347" t="s">
        <v>97</v>
      </c>
      <c r="U26" s="146" t="s">
        <v>88</v>
      </c>
      <c r="V26" s="371" t="s">
        <v>200</v>
      </c>
      <c r="W26" s="371"/>
      <c r="X26" s="325"/>
      <c r="Y26" s="371" t="s">
        <v>277</v>
      </c>
      <c r="Z26" s="346"/>
      <c r="AA26" s="346" t="s">
        <v>198</v>
      </c>
      <c r="AB26" s="347" t="s">
        <v>97</v>
      </c>
    </row>
    <row r="27" spans="1:28" x14ac:dyDescent="0.25">
      <c r="A27" s="330"/>
      <c r="B27" s="326"/>
      <c r="C27" s="326"/>
      <c r="E27" s="326"/>
      <c r="F27" s="326"/>
      <c r="G27" s="326"/>
      <c r="H27" s="331"/>
      <c r="K27" s="145" t="s">
        <v>92</v>
      </c>
      <c r="L27" s="348">
        <f>SUM(L9:N9)</f>
        <v>374425.92277391301</v>
      </c>
      <c r="M27" s="348"/>
      <c r="O27" s="348">
        <f>SUM(O9:P9)</f>
        <v>355700</v>
      </c>
      <c r="P27" s="348"/>
      <c r="Q27" s="348">
        <f>Q9</f>
        <v>1734850</v>
      </c>
      <c r="R27" s="349">
        <f>R9</f>
        <v>2464975.922773913</v>
      </c>
      <c r="U27" s="145" t="s">
        <v>92</v>
      </c>
      <c r="V27" s="348">
        <f>SUM(V9:X9)</f>
        <v>425434.81699999998</v>
      </c>
      <c r="W27" s="348"/>
      <c r="Y27" s="348">
        <f>SUM(Y9:Z9)</f>
        <v>356790</v>
      </c>
      <c r="Z27" s="348"/>
      <c r="AA27" s="348">
        <f>AA9</f>
        <v>2005470</v>
      </c>
      <c r="AB27" s="349">
        <f>AB9</f>
        <v>2787694.8169999998</v>
      </c>
    </row>
    <row r="28" spans="1:28" x14ac:dyDescent="0.25">
      <c r="A28" s="330"/>
      <c r="B28" s="393" t="s">
        <v>96</v>
      </c>
      <c r="C28" s="393"/>
      <c r="D28" s="393"/>
      <c r="E28" s="393"/>
      <c r="F28" s="393"/>
      <c r="G28" s="393"/>
      <c r="H28" s="394"/>
      <c r="K28" s="145" t="s">
        <v>93</v>
      </c>
      <c r="L28" s="348">
        <f t="shared" ref="L28:L31" si="24">SUM(L10:N10)</f>
        <v>203775.49687826086</v>
      </c>
      <c r="M28" s="348"/>
      <c r="O28" s="348">
        <f>SUM(O10:P10)</f>
        <v>327100</v>
      </c>
      <c r="P28" s="348"/>
      <c r="Q28" s="348">
        <f t="shared" ref="Q28:R32" si="25">Q10</f>
        <v>822300</v>
      </c>
      <c r="R28" s="349">
        <f t="shared" si="25"/>
        <v>1353175.4968782607</v>
      </c>
      <c r="U28" s="145" t="s">
        <v>93</v>
      </c>
      <c r="V28" s="348">
        <f t="shared" ref="V28:V31" si="26">SUM(V10:X10)</f>
        <v>244703.36300000001</v>
      </c>
      <c r="W28" s="348"/>
      <c r="Y28" s="348">
        <f>SUM(Y10:Z10)</f>
        <v>360400</v>
      </c>
      <c r="Z28" s="348"/>
      <c r="AA28" s="348">
        <f t="shared" ref="AA28:AB31" si="27">AA10</f>
        <v>1085700</v>
      </c>
      <c r="AB28" s="349">
        <f t="shared" si="27"/>
        <v>1690803.3629999999</v>
      </c>
    </row>
    <row r="29" spans="1:28" ht="45" x14ac:dyDescent="0.25">
      <c r="A29" s="334" t="s">
        <v>88</v>
      </c>
      <c r="B29" s="371" t="s">
        <v>200</v>
      </c>
      <c r="C29" s="371"/>
      <c r="E29" s="371" t="s">
        <v>277</v>
      </c>
      <c r="F29" s="333"/>
      <c r="G29" s="333" t="s">
        <v>198</v>
      </c>
      <c r="H29" s="335" t="s">
        <v>97</v>
      </c>
      <c r="K29" s="145" t="s">
        <v>89</v>
      </c>
      <c r="L29" s="348">
        <f t="shared" si="24"/>
        <v>32325.070982608693</v>
      </c>
      <c r="M29" s="348"/>
      <c r="O29" s="348">
        <f>SUM(O11:P11)</f>
        <v>0</v>
      </c>
      <c r="P29" s="348"/>
      <c r="Q29" s="348">
        <f t="shared" si="25"/>
        <v>200000</v>
      </c>
      <c r="R29" s="349">
        <f t="shared" si="25"/>
        <v>232325.07098260868</v>
      </c>
      <c r="U29" s="145" t="s">
        <v>89</v>
      </c>
      <c r="V29" s="348">
        <f t="shared" si="26"/>
        <v>34371.909</v>
      </c>
      <c r="W29" s="348"/>
      <c r="Y29" s="348">
        <f>SUM(Y11:Z11)</f>
        <v>0</v>
      </c>
      <c r="Z29" s="348"/>
      <c r="AA29" s="348">
        <f t="shared" si="27"/>
        <v>200000</v>
      </c>
      <c r="AB29" s="349">
        <f t="shared" si="27"/>
        <v>234371.90899999999</v>
      </c>
    </row>
    <row r="30" spans="1:28" x14ac:dyDescent="0.25">
      <c r="A30" s="330" t="s">
        <v>116</v>
      </c>
      <c r="B30" s="341">
        <f>B23/$H23</f>
        <v>0.17577651136252143</v>
      </c>
      <c r="C30" s="341"/>
      <c r="D30" s="391"/>
      <c r="E30" s="341">
        <f>E23/$H23</f>
        <v>0.15064053439909811</v>
      </c>
      <c r="F30" s="341"/>
      <c r="G30" s="341">
        <f t="shared" ref="G30" si="28">G23/$H23</f>
        <v>0.67358295423838055</v>
      </c>
      <c r="H30" s="336">
        <f>SUM(G30,E30,B30)</f>
        <v>1</v>
      </c>
      <c r="K30" s="145" t="s">
        <v>90</v>
      </c>
      <c r="L30" s="348">
        <f t="shared" si="24"/>
        <v>26142.570982608693</v>
      </c>
      <c r="M30" s="348"/>
      <c r="O30" s="348">
        <f>SUM(O12:P12)</f>
        <v>74844.399999999994</v>
      </c>
      <c r="P30" s="348"/>
      <c r="Q30" s="348">
        <f t="shared" si="25"/>
        <v>131306.1</v>
      </c>
      <c r="R30" s="349">
        <f t="shared" si="25"/>
        <v>232293.07098260871</v>
      </c>
      <c r="U30" s="145" t="s">
        <v>90</v>
      </c>
      <c r="V30" s="348">
        <f t="shared" si="26"/>
        <v>57057.709000000003</v>
      </c>
      <c r="W30" s="348"/>
      <c r="Y30" s="348">
        <f>SUM(Y12:Z12)</f>
        <v>163503</v>
      </c>
      <c r="Z30" s="348"/>
      <c r="AA30" s="348">
        <f t="shared" si="27"/>
        <v>288561.60000000003</v>
      </c>
      <c r="AB30" s="349">
        <f t="shared" si="27"/>
        <v>509122.30900000001</v>
      </c>
    </row>
    <row r="31" spans="1:28" x14ac:dyDescent="0.25">
      <c r="A31" s="330" t="s">
        <v>139</v>
      </c>
      <c r="B31" s="341">
        <f t="shared" ref="B31:G33" si="29">B24/$H24</f>
        <v>0.1906080877502932</v>
      </c>
      <c r="C31" s="341"/>
      <c r="D31" s="391"/>
      <c r="E31" s="341">
        <f>E24/$H24</f>
        <v>0.32337738032017149</v>
      </c>
      <c r="F31" s="341"/>
      <c r="G31" s="341">
        <f t="shared" si="29"/>
        <v>0.48601453192953542</v>
      </c>
      <c r="H31" s="336">
        <f>SUM(G31,E31,B31)</f>
        <v>1</v>
      </c>
      <c r="K31" s="145" t="s">
        <v>91</v>
      </c>
      <c r="L31" s="348">
        <f t="shared" si="24"/>
        <v>26692.070982608693</v>
      </c>
      <c r="M31" s="348"/>
      <c r="O31" s="348">
        <f>SUM(O13:P13)</f>
        <v>0</v>
      </c>
      <c r="P31" s="348"/>
      <c r="Q31" s="348">
        <f t="shared" si="25"/>
        <v>137410.70000000001</v>
      </c>
      <c r="R31" s="349">
        <f t="shared" si="25"/>
        <v>164102.77098260869</v>
      </c>
      <c r="U31" s="145" t="s">
        <v>91</v>
      </c>
      <c r="V31" s="348">
        <f t="shared" si="26"/>
        <v>30692.409</v>
      </c>
      <c r="W31" s="348"/>
      <c r="Y31" s="348">
        <f>SUM(Y13:Z13)</f>
        <v>0</v>
      </c>
      <c r="Z31" s="348"/>
      <c r="AA31" s="348">
        <f t="shared" si="27"/>
        <v>159116.9</v>
      </c>
      <c r="AB31" s="349">
        <f t="shared" si="27"/>
        <v>189809.30900000001</v>
      </c>
    </row>
    <row r="32" spans="1:28" x14ac:dyDescent="0.25">
      <c r="A32" s="330" t="s">
        <v>91</v>
      </c>
      <c r="B32" s="341">
        <f t="shared" si="29"/>
        <v>0.14262230817445817</v>
      </c>
      <c r="C32" s="341"/>
      <c r="D32" s="391"/>
      <c r="E32" s="341">
        <f>E25/$H25</f>
        <v>0</v>
      </c>
      <c r="F32" s="341"/>
      <c r="G32" s="341">
        <f t="shared" si="29"/>
        <v>0.8573776918255418</v>
      </c>
      <c r="H32" s="336">
        <f>SUM(G32,E32,B32)</f>
        <v>1</v>
      </c>
      <c r="K32" s="145" t="s">
        <v>82</v>
      </c>
      <c r="L32" s="348">
        <f>SUM(L27:L31)</f>
        <v>663361.13260000001</v>
      </c>
      <c r="M32" s="348"/>
      <c r="O32" s="348">
        <f>SUM(O27:O31)</f>
        <v>757644.4</v>
      </c>
      <c r="P32" s="348"/>
      <c r="Q32" s="348">
        <f t="shared" si="25"/>
        <v>3025866.8000000003</v>
      </c>
      <c r="R32" s="349">
        <f t="shared" si="25"/>
        <v>4446872.3326000003</v>
      </c>
      <c r="U32" s="145" t="s">
        <v>82</v>
      </c>
      <c r="V32" s="348">
        <f>SUM(V27:V31)</f>
        <v>792260.20699999994</v>
      </c>
      <c r="W32" s="348"/>
      <c r="Y32" s="348">
        <f>SUM(Y27:Y31)</f>
        <v>880693</v>
      </c>
      <c r="Z32" s="348"/>
      <c r="AA32" s="348">
        <f>SUM(AA27:AA31)</f>
        <v>3738848.5</v>
      </c>
      <c r="AB32" s="349">
        <f>SUM(AB27:AB31)</f>
        <v>5411801.7070000004</v>
      </c>
    </row>
    <row r="33" spans="1:28" ht="30" customHeight="1" x14ac:dyDescent="0.25">
      <c r="A33" s="332" t="s">
        <v>141</v>
      </c>
      <c r="B33" s="343">
        <f t="shared" si="29"/>
        <v>0.17874902372811519</v>
      </c>
      <c r="C33" s="343"/>
      <c r="D33" s="392"/>
      <c r="E33" s="343">
        <f>E26/$H26</f>
        <v>0.19742747870873439</v>
      </c>
      <c r="F33" s="343"/>
      <c r="G33" s="343">
        <f t="shared" si="29"/>
        <v>0.62382349756315025</v>
      </c>
      <c r="H33" s="337">
        <f>SUM(G33,E33,B33)</f>
        <v>0.99999999999999989</v>
      </c>
      <c r="K33" s="145"/>
      <c r="L33" s="218"/>
      <c r="M33" s="218"/>
      <c r="N33" s="218"/>
      <c r="O33" s="218"/>
      <c r="P33" s="218"/>
      <c r="Q33" s="218"/>
      <c r="R33" s="350"/>
      <c r="U33" s="145"/>
      <c r="V33" s="218"/>
      <c r="W33" s="218"/>
      <c r="X33" s="218"/>
      <c r="Y33" s="218"/>
      <c r="Z33" s="218"/>
      <c r="AA33" s="218"/>
      <c r="AB33" s="350"/>
    </row>
    <row r="34" spans="1:28" x14ac:dyDescent="0.25">
      <c r="K34" s="146"/>
      <c r="L34" s="400" t="s">
        <v>96</v>
      </c>
      <c r="M34" s="400"/>
      <c r="N34" s="400"/>
      <c r="O34" s="400"/>
      <c r="P34" s="400"/>
      <c r="Q34" s="400"/>
      <c r="R34" s="401"/>
      <c r="U34" s="146"/>
      <c r="V34" s="400" t="s">
        <v>96</v>
      </c>
      <c r="W34" s="400"/>
      <c r="X34" s="400"/>
      <c r="Y34" s="400"/>
      <c r="Z34" s="400"/>
      <c r="AA34" s="400"/>
      <c r="AB34" s="401"/>
    </row>
    <row r="35" spans="1:28" ht="45" x14ac:dyDescent="0.25">
      <c r="K35" s="146" t="s">
        <v>88</v>
      </c>
      <c r="L35" s="371" t="s">
        <v>200</v>
      </c>
      <c r="M35" s="371"/>
      <c r="N35" s="325"/>
      <c r="O35" s="371" t="s">
        <v>277</v>
      </c>
      <c r="P35" s="346"/>
      <c r="Q35" s="346" t="s">
        <v>198</v>
      </c>
      <c r="R35" s="347" t="s">
        <v>97</v>
      </c>
      <c r="U35" s="146" t="s">
        <v>88</v>
      </c>
      <c r="V35" s="371" t="s">
        <v>200</v>
      </c>
      <c r="W35" s="371"/>
      <c r="X35" s="325"/>
      <c r="Y35" s="371" t="s">
        <v>277</v>
      </c>
      <c r="Z35" s="346"/>
      <c r="AA35" s="346" t="s">
        <v>198</v>
      </c>
      <c r="AB35" s="347" t="s">
        <v>97</v>
      </c>
    </row>
    <row r="36" spans="1:28" ht="62.25" customHeight="1" x14ac:dyDescent="0.25">
      <c r="K36" s="145" t="s">
        <v>92</v>
      </c>
      <c r="L36" s="358">
        <f>L27/$R27</f>
        <v>0.15189840976319155</v>
      </c>
      <c r="M36" s="358"/>
      <c r="O36" s="358">
        <f t="shared" ref="O36:O41" si="30">O27/$R27</f>
        <v>0.14430161232557592</v>
      </c>
      <c r="P36" s="358"/>
      <c r="Q36" s="358">
        <f>Q27/$R27</f>
        <v>0.7037999779112325</v>
      </c>
      <c r="R36" s="359">
        <f t="shared" ref="R36:R41" si="31">SUM(Q36,O36,L36)</f>
        <v>1</v>
      </c>
      <c r="U36" s="145" t="s">
        <v>92</v>
      </c>
      <c r="V36" s="358">
        <f>V27/$AB27</f>
        <v>0.15261168991871035</v>
      </c>
      <c r="W36" s="358"/>
      <c r="Y36" s="358">
        <f t="shared" ref="Y36:Y41" si="32">Y27/$AB27</f>
        <v>0.12798746757507784</v>
      </c>
      <c r="Z36" s="358"/>
      <c r="AA36" s="358">
        <f>AA27/$AB27</f>
        <v>0.71940084250621184</v>
      </c>
      <c r="AB36" s="359">
        <f t="shared" ref="AB36:AB41" si="33">SUM(V36,Y36,AA36)</f>
        <v>1</v>
      </c>
    </row>
    <row r="37" spans="1:28" x14ac:dyDescent="0.25">
      <c r="K37" s="145" t="s">
        <v>93</v>
      </c>
      <c r="L37" s="358">
        <f t="shared" ref="L37:L41" si="34">L28/$R28</f>
        <v>0.15059059031763833</v>
      </c>
      <c r="M37" s="358"/>
      <c r="O37" s="358">
        <f t="shared" si="30"/>
        <v>0.24172769958856841</v>
      </c>
      <c r="P37" s="358"/>
      <c r="Q37" s="358">
        <f t="shared" ref="Q37:Q41" si="35">Q28/$R28</f>
        <v>0.60768171009379335</v>
      </c>
      <c r="R37" s="359">
        <f t="shared" si="31"/>
        <v>1</v>
      </c>
      <c r="U37" s="145" t="s">
        <v>93</v>
      </c>
      <c r="V37" s="358">
        <f t="shared" ref="V37:V41" si="36">V28/$AB28</f>
        <v>0.14472609196010927</v>
      </c>
      <c r="W37" s="358"/>
      <c r="Y37" s="358">
        <f t="shared" si="32"/>
        <v>0.2131531128259295</v>
      </c>
      <c r="Z37" s="358"/>
      <c r="AA37" s="358">
        <f t="shared" ref="AA37:AA41" si="37">AA28/$AB28</f>
        <v>0.64212079521396126</v>
      </c>
      <c r="AB37" s="359">
        <f t="shared" si="33"/>
        <v>1</v>
      </c>
    </row>
    <row r="38" spans="1:28" x14ac:dyDescent="0.25">
      <c r="K38" s="145" t="s">
        <v>89</v>
      </c>
      <c r="L38" s="358">
        <f t="shared" si="34"/>
        <v>0.13913724784798828</v>
      </c>
      <c r="M38" s="358"/>
      <c r="O38" s="358">
        <f t="shared" si="30"/>
        <v>0</v>
      </c>
      <c r="P38" s="358"/>
      <c r="Q38" s="358">
        <f t="shared" si="35"/>
        <v>0.8608627521520118</v>
      </c>
      <c r="R38" s="359">
        <f t="shared" si="31"/>
        <v>1</v>
      </c>
      <c r="U38" s="145" t="s">
        <v>89</v>
      </c>
      <c r="V38" s="358">
        <f t="shared" si="36"/>
        <v>0.14665541253068856</v>
      </c>
      <c r="W38" s="358"/>
      <c r="Y38" s="358">
        <f t="shared" si="32"/>
        <v>0</v>
      </c>
      <c r="Z38" s="358"/>
      <c r="AA38" s="358">
        <f t="shared" si="37"/>
        <v>0.85334458746931152</v>
      </c>
      <c r="AB38" s="359">
        <f t="shared" si="33"/>
        <v>1</v>
      </c>
    </row>
    <row r="39" spans="1:28" x14ac:dyDescent="0.25">
      <c r="K39" s="145" t="s">
        <v>90</v>
      </c>
      <c r="L39" s="358">
        <f t="shared" si="34"/>
        <v>0.11254132924423704</v>
      </c>
      <c r="M39" s="358"/>
      <c r="O39" s="358">
        <f t="shared" si="30"/>
        <v>0.3221981597789606</v>
      </c>
      <c r="P39" s="358"/>
      <c r="Q39" s="358">
        <f t="shared" si="35"/>
        <v>0.5652605109768023</v>
      </c>
      <c r="R39" s="359">
        <f t="shared" si="31"/>
        <v>1</v>
      </c>
      <c r="U39" s="145" t="s">
        <v>90</v>
      </c>
      <c r="V39" s="358">
        <f t="shared" si="36"/>
        <v>0.11207073033603798</v>
      </c>
      <c r="W39" s="358"/>
      <c r="Y39" s="358">
        <f t="shared" si="32"/>
        <v>0.3211467993244036</v>
      </c>
      <c r="Z39" s="358"/>
      <c r="AA39" s="358">
        <f t="shared" si="37"/>
        <v>0.56678247033955853</v>
      </c>
      <c r="AB39" s="359">
        <f t="shared" si="33"/>
        <v>1</v>
      </c>
    </row>
    <row r="40" spans="1:28" x14ac:dyDescent="0.25">
      <c r="K40" s="145" t="s">
        <v>91</v>
      </c>
      <c r="L40" s="358">
        <f t="shared" si="34"/>
        <v>0.16265460249563651</v>
      </c>
      <c r="M40" s="358"/>
      <c r="O40" s="358">
        <f t="shared" si="30"/>
        <v>0</v>
      </c>
      <c r="P40" s="358"/>
      <c r="Q40" s="358">
        <f t="shared" si="35"/>
        <v>0.83734539750436354</v>
      </c>
      <c r="R40" s="359">
        <f t="shared" si="31"/>
        <v>1</v>
      </c>
      <c r="U40" s="145" t="s">
        <v>91</v>
      </c>
      <c r="V40" s="358">
        <f t="shared" si="36"/>
        <v>0.16170128410298359</v>
      </c>
      <c r="W40" s="358"/>
      <c r="Y40" s="358">
        <f t="shared" si="32"/>
        <v>0</v>
      </c>
      <c r="Z40" s="358"/>
      <c r="AA40" s="358">
        <f t="shared" si="37"/>
        <v>0.83829871589701632</v>
      </c>
      <c r="AB40" s="359">
        <f t="shared" si="33"/>
        <v>0.99999999999999989</v>
      </c>
    </row>
    <row r="41" spans="1:28" x14ac:dyDescent="0.25">
      <c r="K41" s="353" t="s">
        <v>141</v>
      </c>
      <c r="L41" s="360">
        <f t="shared" si="34"/>
        <v>0.14917476441518293</v>
      </c>
      <c r="M41" s="360"/>
      <c r="N41" s="41"/>
      <c r="O41" s="360">
        <f t="shared" si="30"/>
        <v>0.17037691737757174</v>
      </c>
      <c r="P41" s="360"/>
      <c r="Q41" s="360">
        <f t="shared" si="35"/>
        <v>0.68044831820724527</v>
      </c>
      <c r="R41" s="361">
        <f t="shared" si="31"/>
        <v>1</v>
      </c>
      <c r="U41" s="353" t="s">
        <v>141</v>
      </c>
      <c r="V41" s="360">
        <f t="shared" si="36"/>
        <v>0.14639490688937024</v>
      </c>
      <c r="W41" s="360"/>
      <c r="X41" s="41"/>
      <c r="Y41" s="360">
        <f t="shared" si="32"/>
        <v>0.16273563734991445</v>
      </c>
      <c r="Z41" s="360"/>
      <c r="AA41" s="360">
        <f t="shared" si="37"/>
        <v>0.69086945576071523</v>
      </c>
      <c r="AB41" s="361">
        <f t="shared" si="33"/>
        <v>0.99999999999999989</v>
      </c>
    </row>
    <row r="42" spans="1:28" ht="45.75" customHeight="1" x14ac:dyDescent="0.25"/>
    <row r="51" ht="60.75" customHeight="1" x14ac:dyDescent="0.25"/>
  </sheetData>
  <sheetProtection password="D297" sheet="1" objects="1" scenarios="1"/>
  <mergeCells count="15">
    <mergeCell ref="V34:AB34"/>
    <mergeCell ref="L7:R7"/>
    <mergeCell ref="L16:R16"/>
    <mergeCell ref="L25:R25"/>
    <mergeCell ref="L34:R34"/>
    <mergeCell ref="B28:H28"/>
    <mergeCell ref="B7:H7"/>
    <mergeCell ref="B14:H14"/>
    <mergeCell ref="B21:H21"/>
    <mergeCell ref="U1:AC1"/>
    <mergeCell ref="V7:AB7"/>
    <mergeCell ref="V16:AB16"/>
    <mergeCell ref="V25:AB25"/>
    <mergeCell ref="A1:I1"/>
    <mergeCell ref="K1:S1"/>
  </mergeCells>
  <pageMargins left="0.7" right="0.7" top="0.75" bottom="0.75" header="0.3" footer="0.3"/>
  <pageSetup paperSize="5" scale="29" fitToHeight="0" orientation="landscape" r:id="rId1"/>
  <ignoredErrors>
    <ignoredError sqref="E23:E25 O27:O31 Y27:Y3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opLeftCell="A16" workbookViewId="0">
      <selection activeCell="J29" sqref="J29:K29"/>
    </sheetView>
  </sheetViews>
  <sheetFormatPr defaultRowHeight="15" x14ac:dyDescent="0.25"/>
  <cols>
    <col min="1" max="1" width="6.5703125" customWidth="1"/>
    <col min="2" max="2" width="13" customWidth="1"/>
    <col min="3" max="3" width="12.85546875" customWidth="1"/>
    <col min="4" max="4" width="10.7109375" customWidth="1"/>
    <col min="5" max="5" width="13.5703125" customWidth="1"/>
    <col min="6" max="6" width="17.5703125" customWidth="1"/>
    <col min="7" max="7" width="13.140625" customWidth="1"/>
    <col min="8" max="8" width="14.140625" customWidth="1"/>
    <col min="9" max="9" width="10.140625" bestFit="1" customWidth="1"/>
    <col min="10" max="10" width="13.140625" customWidth="1"/>
    <col min="11" max="11" width="10" bestFit="1" customWidth="1"/>
    <col min="12" max="12" width="12.85546875" customWidth="1"/>
    <col min="13" max="13" width="13.140625" customWidth="1"/>
    <col min="14" max="14" width="13.85546875" customWidth="1"/>
    <col min="15" max="15" width="13.7109375" customWidth="1"/>
    <col min="16" max="16" width="13.85546875" customWidth="1"/>
    <col min="17" max="17" width="11.7109375" customWidth="1"/>
    <col min="18" max="18" width="10.140625" bestFit="1" customWidth="1"/>
  </cols>
  <sheetData>
    <row r="1" spans="1:17" x14ac:dyDescent="0.25">
      <c r="A1" t="s">
        <v>204</v>
      </c>
    </row>
    <row r="2" spans="1:17" x14ac:dyDescent="0.25">
      <c r="A2" s="35" t="s">
        <v>186</v>
      </c>
    </row>
    <row r="3" spans="1:17" x14ac:dyDescent="0.25">
      <c r="A3" t="s">
        <v>185</v>
      </c>
    </row>
    <row r="4" spans="1:17" ht="15.75" thickBot="1" x14ac:dyDescent="0.3">
      <c r="A4" t="s">
        <v>250</v>
      </c>
    </row>
    <row r="5" spans="1:17" s="179" customFormat="1" ht="90" x14ac:dyDescent="0.25">
      <c r="A5" s="261" t="s">
        <v>127</v>
      </c>
      <c r="B5" s="260" t="s">
        <v>184</v>
      </c>
      <c r="C5" s="260" t="s">
        <v>183</v>
      </c>
      <c r="D5" s="260" t="s">
        <v>182</v>
      </c>
      <c r="E5" s="260" t="s">
        <v>181</v>
      </c>
      <c r="F5" s="260" t="s">
        <v>180</v>
      </c>
      <c r="G5" s="260" t="s">
        <v>179</v>
      </c>
      <c r="H5" s="260" t="s">
        <v>178</v>
      </c>
      <c r="I5" s="260" t="s">
        <v>177</v>
      </c>
      <c r="J5" s="260" t="s">
        <v>176</v>
      </c>
      <c r="K5" s="259" t="s">
        <v>175</v>
      </c>
      <c r="L5" s="260" t="s">
        <v>174</v>
      </c>
      <c r="M5" s="259" t="s">
        <v>173</v>
      </c>
      <c r="N5" s="258" t="s">
        <v>172</v>
      </c>
      <c r="O5" s="257" t="s">
        <v>171</v>
      </c>
      <c r="P5" s="256" t="s">
        <v>170</v>
      </c>
      <c r="Q5" s="255" t="s">
        <v>169</v>
      </c>
    </row>
    <row r="6" spans="1:17" x14ac:dyDescent="0.25">
      <c r="A6" s="237">
        <v>2016</v>
      </c>
      <c r="B6" s="254">
        <v>87500</v>
      </c>
      <c r="C6" s="254">
        <v>7875</v>
      </c>
      <c r="D6" s="254">
        <v>34521</v>
      </c>
      <c r="E6" s="254">
        <v>3107</v>
      </c>
      <c r="F6" s="254">
        <v>163500</v>
      </c>
      <c r="G6" s="254">
        <v>14715</v>
      </c>
      <c r="H6" s="254">
        <v>25000</v>
      </c>
      <c r="I6" s="254">
        <v>2250</v>
      </c>
      <c r="J6" s="254">
        <v>303800</v>
      </c>
      <c r="K6" s="254">
        <v>27342</v>
      </c>
      <c r="L6" s="254">
        <v>8000</v>
      </c>
      <c r="M6" s="253">
        <v>720</v>
      </c>
      <c r="N6" s="251">
        <f>SUM(B6:M6)</f>
        <v>678330</v>
      </c>
      <c r="O6" s="247">
        <f>E25</f>
        <v>85803</v>
      </c>
      <c r="P6" s="252">
        <f>C18</f>
        <v>11680000</v>
      </c>
      <c r="Q6" s="250">
        <f>SUM(N6:P6)</f>
        <v>12444133</v>
      </c>
    </row>
    <row r="7" spans="1:17" x14ac:dyDescent="0.25">
      <c r="A7" s="237">
        <v>2017</v>
      </c>
      <c r="B7" s="206">
        <v>93000</v>
      </c>
      <c r="C7" s="206">
        <v>8370</v>
      </c>
      <c r="D7" s="206">
        <v>70400</v>
      </c>
      <c r="E7" s="206">
        <v>6336</v>
      </c>
      <c r="F7" s="206">
        <v>170000</v>
      </c>
      <c r="G7" s="206">
        <v>15300</v>
      </c>
      <c r="H7" s="206">
        <v>27000</v>
      </c>
      <c r="I7" s="206">
        <v>2430</v>
      </c>
      <c r="J7" s="206">
        <v>303800</v>
      </c>
      <c r="K7" s="206">
        <v>27342</v>
      </c>
      <c r="L7" s="206">
        <v>10000</v>
      </c>
      <c r="M7" s="249">
        <v>900</v>
      </c>
      <c r="N7" s="251">
        <f>SUM(B7:M7)</f>
        <v>734878</v>
      </c>
      <c r="O7" s="247">
        <f>J25</f>
        <v>6724977</v>
      </c>
      <c r="P7" s="246">
        <f>F18</f>
        <v>18425000</v>
      </c>
      <c r="Q7" s="250">
        <f>SUM(N7:P7)</f>
        <v>25884855</v>
      </c>
    </row>
    <row r="8" spans="1:17" ht="15.75" thickBot="1" x14ac:dyDescent="0.3">
      <c r="A8" s="237">
        <v>2018</v>
      </c>
      <c r="B8" s="206">
        <v>114000</v>
      </c>
      <c r="C8" s="206">
        <v>10260</v>
      </c>
      <c r="D8" s="206">
        <v>0</v>
      </c>
      <c r="E8" s="206">
        <v>0</v>
      </c>
      <c r="F8" s="206">
        <v>150000</v>
      </c>
      <c r="G8" s="206">
        <v>13500</v>
      </c>
      <c r="H8" s="206">
        <v>27000</v>
      </c>
      <c r="I8" s="206">
        <v>2430</v>
      </c>
      <c r="J8" s="206">
        <v>408760</v>
      </c>
      <c r="K8" s="249">
        <v>36788</v>
      </c>
      <c r="L8" s="206">
        <v>10000</v>
      </c>
      <c r="M8" s="249">
        <v>900</v>
      </c>
      <c r="N8" s="248">
        <f>SUM(B8:M8)</f>
        <v>773638</v>
      </c>
      <c r="O8" s="247">
        <f>O25</f>
        <v>8204468</v>
      </c>
      <c r="P8" s="246">
        <f>I18</f>
        <v>9600000</v>
      </c>
      <c r="Q8" s="245">
        <f>SUM(N8:P8)</f>
        <v>18578106</v>
      </c>
    </row>
    <row r="9" spans="1:17" x14ac:dyDescent="0.25">
      <c r="A9" t="s">
        <v>168</v>
      </c>
    </row>
    <row r="11" spans="1:17" ht="30" x14ac:dyDescent="0.25">
      <c r="B11" s="4" t="s">
        <v>167</v>
      </c>
      <c r="C11" s="156" t="s">
        <v>153</v>
      </c>
      <c r="E11" s="4" t="s">
        <v>166</v>
      </c>
      <c r="F11" s="156" t="s">
        <v>153</v>
      </c>
      <c r="H11" s="4" t="s">
        <v>165</v>
      </c>
      <c r="I11" s="156" t="s">
        <v>153</v>
      </c>
    </row>
    <row r="12" spans="1:17" x14ac:dyDescent="0.25">
      <c r="B12" t="s">
        <v>164</v>
      </c>
      <c r="C12" s="241">
        <v>5960000</v>
      </c>
      <c r="E12" s="270" t="s">
        <v>205</v>
      </c>
      <c r="F12" s="271">
        <v>620000</v>
      </c>
      <c r="H12" t="s">
        <v>163</v>
      </c>
      <c r="I12" s="241">
        <v>5200000</v>
      </c>
    </row>
    <row r="13" spans="1:17" x14ac:dyDescent="0.25">
      <c r="B13" t="s">
        <v>162</v>
      </c>
      <c r="C13" s="241">
        <v>5720000</v>
      </c>
      <c r="E13" s="270" t="s">
        <v>206</v>
      </c>
      <c r="F13" s="271">
        <v>165000</v>
      </c>
      <c r="H13" t="s">
        <v>161</v>
      </c>
      <c r="I13" s="241">
        <v>800000</v>
      </c>
    </row>
    <row r="14" spans="1:17" x14ac:dyDescent="0.25">
      <c r="C14" s="241"/>
      <c r="E14" s="270" t="s">
        <v>207</v>
      </c>
      <c r="F14" s="271">
        <v>6330000</v>
      </c>
      <c r="H14" t="s">
        <v>160</v>
      </c>
      <c r="I14" s="241">
        <v>600000</v>
      </c>
    </row>
    <row r="15" spans="1:17" x14ac:dyDescent="0.25">
      <c r="C15" s="241"/>
      <c r="E15" s="270" t="s">
        <v>208</v>
      </c>
      <c r="F15" s="271">
        <v>1500000</v>
      </c>
      <c r="H15" s="199" t="s">
        <v>159</v>
      </c>
      <c r="I15" s="241">
        <v>3000000</v>
      </c>
    </row>
    <row r="16" spans="1:17" x14ac:dyDescent="0.25">
      <c r="C16" s="241"/>
      <c r="E16" s="270" t="s">
        <v>209</v>
      </c>
      <c r="F16" s="271">
        <v>9810000</v>
      </c>
      <c r="H16" s="199"/>
      <c r="I16" s="241"/>
    </row>
    <row r="17" spans="1:16" x14ac:dyDescent="0.25">
      <c r="B17" s="44"/>
      <c r="C17" s="242"/>
      <c r="E17" s="44"/>
      <c r="F17" s="242"/>
      <c r="H17" s="44"/>
      <c r="I17" s="242"/>
    </row>
    <row r="18" spans="1:16" x14ac:dyDescent="0.25">
      <c r="B18" t="s">
        <v>126</v>
      </c>
      <c r="C18" s="241">
        <f>SUM(C12:C15)</f>
        <v>11680000</v>
      </c>
      <c r="E18" t="s">
        <v>126</v>
      </c>
      <c r="F18" s="241">
        <f>SUM(F12:F16)</f>
        <v>18425000</v>
      </c>
      <c r="H18" t="s">
        <v>126</v>
      </c>
      <c r="I18" s="241">
        <f>SUM(I12:I15)</f>
        <v>9600000</v>
      </c>
    </row>
    <row r="19" spans="1:16" x14ac:dyDescent="0.25">
      <c r="C19" s="241"/>
      <c r="F19" s="241"/>
      <c r="I19" s="241"/>
    </row>
    <row r="20" spans="1:16" s="179" customFormat="1" ht="60" x14ac:dyDescent="0.25">
      <c r="B20" s="4" t="s">
        <v>158</v>
      </c>
      <c r="C20" s="4" t="s">
        <v>153</v>
      </c>
      <c r="D20" s="4" t="s">
        <v>154</v>
      </c>
      <c r="E20" s="4" t="s">
        <v>144</v>
      </c>
      <c r="G20" s="4" t="s">
        <v>157</v>
      </c>
      <c r="H20" s="4" t="s">
        <v>156</v>
      </c>
      <c r="I20" s="4" t="s">
        <v>154</v>
      </c>
      <c r="J20" s="4" t="s">
        <v>144</v>
      </c>
      <c r="L20" s="4" t="s">
        <v>155</v>
      </c>
      <c r="M20" s="4" t="s">
        <v>153</v>
      </c>
      <c r="N20" s="4" t="s">
        <v>154</v>
      </c>
      <c r="O20" s="4" t="s">
        <v>153</v>
      </c>
    </row>
    <row r="21" spans="1:16" x14ac:dyDescent="0.25">
      <c r="B21" s="17">
        <v>16120112</v>
      </c>
      <c r="C21" s="241">
        <v>7750</v>
      </c>
      <c r="D21" s="241">
        <v>698</v>
      </c>
      <c r="E21" s="241">
        <f>SUM(C21:D21)</f>
        <v>8448</v>
      </c>
      <c r="G21">
        <v>17170116</v>
      </c>
      <c r="H21" s="241">
        <v>2031600</v>
      </c>
      <c r="I21" s="241">
        <v>182844</v>
      </c>
      <c r="J21" s="241">
        <f>SUM(H21:I21)</f>
        <v>2214444</v>
      </c>
      <c r="L21" s="244">
        <v>18180117</v>
      </c>
      <c r="M21" s="272">
        <v>91282</v>
      </c>
      <c r="N21" s="272">
        <v>8215</v>
      </c>
      <c r="O21" s="241">
        <v>52398</v>
      </c>
    </row>
    <row r="22" spans="1:16" x14ac:dyDescent="0.25">
      <c r="B22" s="17" t="s">
        <v>152</v>
      </c>
      <c r="C22" s="241">
        <v>70968</v>
      </c>
      <c r="D22" s="241">
        <v>6387</v>
      </c>
      <c r="E22" s="241">
        <f>SUM(C22:D22)</f>
        <v>77355</v>
      </c>
      <c r="G22">
        <v>17170119</v>
      </c>
      <c r="H22" s="241">
        <v>4136039</v>
      </c>
      <c r="I22" s="272">
        <f>372244+2250</f>
        <v>374494</v>
      </c>
      <c r="J22" s="241">
        <f>SUM(H22:I22)</f>
        <v>4510533</v>
      </c>
      <c r="L22" s="244">
        <v>18180120</v>
      </c>
      <c r="M22" s="241">
        <v>7478963</v>
      </c>
      <c r="N22" s="241">
        <v>673107</v>
      </c>
      <c r="O22" s="241">
        <v>8152070</v>
      </c>
    </row>
    <row r="23" spans="1:16" x14ac:dyDescent="0.25">
      <c r="C23" s="241"/>
      <c r="D23" s="241"/>
      <c r="E23" s="241">
        <f>SUM(C23:D23)</f>
        <v>0</v>
      </c>
      <c r="H23" s="241"/>
      <c r="I23" s="241"/>
      <c r="J23" s="241">
        <f>SUM(H23:I23)</f>
        <v>0</v>
      </c>
      <c r="L23" s="244"/>
      <c r="M23" s="241"/>
      <c r="N23" s="241"/>
      <c r="O23" s="241"/>
    </row>
    <row r="24" spans="1:16" x14ac:dyDescent="0.25">
      <c r="B24" s="44"/>
      <c r="C24" s="242"/>
      <c r="D24" s="242"/>
      <c r="E24" s="242"/>
      <c r="G24" s="44"/>
      <c r="H24" s="242"/>
      <c r="I24" s="242"/>
      <c r="J24" s="242">
        <f>SUM(H24:I24)</f>
        <v>0</v>
      </c>
      <c r="L24" s="243"/>
      <c r="M24" s="242"/>
      <c r="N24" s="242"/>
      <c r="O24" s="242"/>
    </row>
    <row r="25" spans="1:16" x14ac:dyDescent="0.25">
      <c r="B25" t="s">
        <v>126</v>
      </c>
      <c r="C25" s="241"/>
      <c r="D25" s="241"/>
      <c r="E25" s="241">
        <f>SUM(E21:E24)</f>
        <v>85803</v>
      </c>
      <c r="G25" t="s">
        <v>126</v>
      </c>
      <c r="H25" s="241">
        <f>SUM(H21:H24)</f>
        <v>6167639</v>
      </c>
      <c r="I25" s="241">
        <f>SUM(I21:I24)</f>
        <v>557338</v>
      </c>
      <c r="J25" s="241">
        <f>SUM(J21:J24)</f>
        <v>6724977</v>
      </c>
      <c r="L25" t="s">
        <v>126</v>
      </c>
      <c r="M25" s="241">
        <f>SUM(M21:M24)</f>
        <v>7570245</v>
      </c>
      <c r="N25" s="241">
        <f>SUM(N21:N24)</f>
        <v>681322</v>
      </c>
      <c r="O25" s="241">
        <f>SUM(O21:O24)</f>
        <v>8204468</v>
      </c>
    </row>
    <row r="28" spans="1:16" ht="15.75" thickBot="1" x14ac:dyDescent="0.3"/>
    <row r="29" spans="1:16" ht="58.5" customHeight="1" x14ac:dyDescent="0.25">
      <c r="B29" s="406" t="s">
        <v>195</v>
      </c>
      <c r="C29" s="406"/>
      <c r="D29" s="406"/>
      <c r="E29" s="406"/>
      <c r="F29" s="406"/>
      <c r="G29" s="406"/>
      <c r="I29" s="221" t="s">
        <v>241</v>
      </c>
      <c r="J29" s="407" t="s">
        <v>200</v>
      </c>
      <c r="K29" s="407"/>
      <c r="L29" s="323" t="s">
        <v>279</v>
      </c>
      <c r="M29" s="323"/>
      <c r="N29" s="311"/>
    </row>
    <row r="30" spans="1:16" ht="90" x14ac:dyDescent="0.25">
      <c r="B30" s="263" t="s">
        <v>63</v>
      </c>
      <c r="C30" s="263" t="s">
        <v>188</v>
      </c>
      <c r="D30" s="263" t="s">
        <v>191</v>
      </c>
      <c r="E30" s="263" t="s">
        <v>189</v>
      </c>
      <c r="F30" s="263" t="s">
        <v>190</v>
      </c>
      <c r="G30" s="263" t="s">
        <v>192</v>
      </c>
      <c r="H30" s="4" t="s">
        <v>197</v>
      </c>
      <c r="I30" s="180"/>
      <c r="J30" s="312" t="s">
        <v>242</v>
      </c>
      <c r="K30" s="312" t="s">
        <v>199</v>
      </c>
      <c r="L30" s="312" t="s">
        <v>193</v>
      </c>
      <c r="M30" s="312" t="s">
        <v>194</v>
      </c>
      <c r="N30" s="313" t="s">
        <v>196</v>
      </c>
    </row>
    <row r="31" spans="1:16" x14ac:dyDescent="0.25">
      <c r="A31">
        <v>2016</v>
      </c>
      <c r="B31" s="264">
        <f>'2. FY16 Final Budget 18.77.5'!B85</f>
        <v>303800</v>
      </c>
      <c r="C31" s="264">
        <f>'2. FY16 Final Budget 18.77.5'!C85</f>
        <v>27342</v>
      </c>
      <c r="D31" s="264">
        <f>'2. FY16 Final Budget 18.77.5'!D85</f>
        <v>331142</v>
      </c>
      <c r="E31" s="18">
        <f>'2. FY16 Final Budget 18.77.5'!L138</f>
        <v>786388.83</v>
      </c>
      <c r="F31" s="18">
        <f>'2. FY16 Final Budget 18.77.5'!M138</f>
        <v>70774.99470000001</v>
      </c>
      <c r="G31" s="18">
        <f>'2. FY16 Final Budget 18.77.5'!N138</f>
        <v>857163.82470000011</v>
      </c>
      <c r="H31" s="241">
        <f>SUM(D21:D22)</f>
        <v>7085</v>
      </c>
      <c r="I31" s="222">
        <v>2016</v>
      </c>
      <c r="J31" s="314">
        <f>SUM(F31:H31,C31)</f>
        <v>962365.81940000015</v>
      </c>
      <c r="K31" s="314">
        <f>'2. FY16 Final Budget 18.77.5'!N139</f>
        <v>148565.33229999998</v>
      </c>
      <c r="L31" s="314">
        <f>B31</f>
        <v>303800</v>
      </c>
      <c r="M31" s="315">
        <f>SUM(C21:C22,C18)</f>
        <v>11758718</v>
      </c>
      <c r="N31" s="316">
        <f>SUM(J31:M31)</f>
        <v>13173449.151699999</v>
      </c>
    </row>
    <row r="32" spans="1:16" x14ac:dyDescent="0.25">
      <c r="A32">
        <v>2017</v>
      </c>
      <c r="B32" s="264">
        <f>'3. FY17 Final Budget 18.77.5'!B86</f>
        <v>303800</v>
      </c>
      <c r="C32" s="264">
        <f>'3. FY17 Final Budget 18.77.5'!C86</f>
        <v>27342</v>
      </c>
      <c r="D32" s="264">
        <f>'3. FY17 Final Budget 18.77.5'!D86</f>
        <v>331142</v>
      </c>
      <c r="E32" s="18">
        <f>'3. FY17 Final Budget 18.77.5'!L140</f>
        <v>765214.71</v>
      </c>
      <c r="F32" s="18">
        <f>'3. FY17 Final Budget 18.77.5'!M140</f>
        <v>68869.323900000003</v>
      </c>
      <c r="G32" s="18">
        <f>'3. FY17 Final Budget 18.77.5'!N140</f>
        <v>834084.03390000015</v>
      </c>
      <c r="H32" s="241">
        <f>SUM(I21:I22)</f>
        <v>557338</v>
      </c>
      <c r="I32" s="222">
        <v>2017</v>
      </c>
      <c r="J32" s="314">
        <f t="shared" ref="J32:J33" si="0">SUM(F32:H32,C32)</f>
        <v>1487633.3578000001</v>
      </c>
      <c r="K32" s="314">
        <f>'3. FY17 Final Budget 18.77.5'!$N$141</f>
        <v>152039.19500000001</v>
      </c>
      <c r="L32" s="314">
        <f>B32</f>
        <v>303800</v>
      </c>
      <c r="M32" s="315">
        <f>SUM(F18,H21:H22)</f>
        <v>24592639</v>
      </c>
      <c r="N32" s="316">
        <f>SUM(J32:M32)</f>
        <v>26536111.5528</v>
      </c>
      <c r="P32" s="265">
        <f>SUM(J33:K33)</f>
        <v>1920296.5616999997</v>
      </c>
    </row>
    <row r="33" spans="1:14" x14ac:dyDescent="0.25">
      <c r="A33">
        <v>2018</v>
      </c>
      <c r="B33" s="264">
        <f>'4. FY18 Budget 18.77.5'!B88</f>
        <v>242660</v>
      </c>
      <c r="C33" s="264">
        <f>'4. FY18 Budget 18.77.5'!C88</f>
        <v>21839.399999999998</v>
      </c>
      <c r="D33" s="264">
        <f>'4. FY18 Budget 18.77.5'!D88</f>
        <v>264499.40000000002</v>
      </c>
      <c r="E33" s="18">
        <f>'4. FY18 Budget 18.77.5'!L143</f>
        <v>911122.67999999993</v>
      </c>
      <c r="F33" s="18">
        <f>'4. FY18 Budget 18.77.5'!M143</f>
        <v>82001.041199999992</v>
      </c>
      <c r="G33" s="18">
        <f>'4. FY18 Budget 18.77.5'!N143</f>
        <v>993123.72119999991</v>
      </c>
      <c r="H33" s="241">
        <f>SUM(N21:N22)</f>
        <v>681322</v>
      </c>
      <c r="I33" s="222">
        <v>2018</v>
      </c>
      <c r="J33" s="314">
        <f t="shared" si="0"/>
        <v>1778286.1623999998</v>
      </c>
      <c r="K33" s="314">
        <f>'4. FY18 Budget 18.77.5'!N144</f>
        <v>142010.39929999999</v>
      </c>
      <c r="L33" s="314">
        <f>B33</f>
        <v>242660</v>
      </c>
      <c r="M33" s="315">
        <f>SUM(I18,M21:M22)</f>
        <v>17170245</v>
      </c>
      <c r="N33" s="316">
        <f>SUM(J33:M33)</f>
        <v>19333201.561700001</v>
      </c>
    </row>
    <row r="34" spans="1:14" x14ac:dyDescent="0.25">
      <c r="B34" s="262"/>
      <c r="C34" s="262"/>
      <c r="D34" s="262"/>
      <c r="E34" s="262"/>
      <c r="I34" s="222"/>
      <c r="J34" s="207"/>
      <c r="K34" s="207"/>
      <c r="L34" s="207"/>
      <c r="M34" s="207"/>
      <c r="N34" s="317"/>
    </row>
    <row r="35" spans="1:14" x14ac:dyDescent="0.25">
      <c r="B35" s="262"/>
      <c r="C35" s="262"/>
      <c r="D35" s="262"/>
      <c r="E35" s="262"/>
      <c r="I35" s="222">
        <v>2016</v>
      </c>
      <c r="J35" s="318">
        <f t="shared" ref="J35:N37" si="1">J31/$N31</f>
        <v>7.3053443203658572E-2</v>
      </c>
      <c r="K35" s="318">
        <f t="shared" si="1"/>
        <v>1.1277633563479312E-2</v>
      </c>
      <c r="L35" s="318">
        <f t="shared" si="1"/>
        <v>2.3061538136410948E-2</v>
      </c>
      <c r="M35" s="318">
        <f t="shared" si="1"/>
        <v>0.89260738509645121</v>
      </c>
      <c r="N35" s="319">
        <f t="shared" si="1"/>
        <v>1</v>
      </c>
    </row>
    <row r="36" spans="1:14" x14ac:dyDescent="0.25">
      <c r="B36" s="262"/>
      <c r="C36" s="262"/>
      <c r="D36" s="262"/>
      <c r="E36" s="262"/>
      <c r="I36" s="222">
        <v>2017</v>
      </c>
      <c r="J36" s="318">
        <f t="shared" si="1"/>
        <v>5.6060713900753484E-2</v>
      </c>
      <c r="K36" s="318">
        <f t="shared" si="1"/>
        <v>5.7295204950235951E-3</v>
      </c>
      <c r="L36" s="318">
        <f t="shared" si="1"/>
        <v>1.1448550003097347E-2</v>
      </c>
      <c r="M36" s="318">
        <f t="shared" si="1"/>
        <v>0.92676121560112557</v>
      </c>
      <c r="N36" s="319">
        <f t="shared" si="1"/>
        <v>1</v>
      </c>
    </row>
    <row r="37" spans="1:14" ht="15.75" thickBot="1" x14ac:dyDescent="0.3">
      <c r="B37" s="262"/>
      <c r="C37" s="262"/>
      <c r="D37" s="262"/>
      <c r="E37" s="262"/>
      <c r="I37" s="320">
        <v>2018</v>
      </c>
      <c r="J37" s="321">
        <f t="shared" si="1"/>
        <v>9.1980945666178218E-2</v>
      </c>
      <c r="K37" s="321">
        <f t="shared" si="1"/>
        <v>7.3454155457277903E-3</v>
      </c>
      <c r="L37" s="321">
        <f t="shared" si="1"/>
        <v>1.2551464858294401E-2</v>
      </c>
      <c r="M37" s="321">
        <f t="shared" si="1"/>
        <v>0.88812217392979953</v>
      </c>
      <c r="N37" s="322">
        <f t="shared" si="1"/>
        <v>1</v>
      </c>
    </row>
    <row r="38" spans="1:14" x14ac:dyDescent="0.25">
      <c r="B38" s="262"/>
      <c r="C38" s="262"/>
      <c r="D38" s="262"/>
      <c r="E38" s="262"/>
    </row>
  </sheetData>
  <sheetProtection password="D297" sheet="1" objects="1" scenarios="1"/>
  <mergeCells count="2">
    <mergeCell ref="B29:G29"/>
    <mergeCell ref="J29:K29"/>
  </mergeCells>
  <pageMargins left="0.25" right="0.25" top="0.75" bottom="0.75" header="0.3" footer="0.3"/>
  <pageSetup paperSize="5"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activeCell="L14" sqref="L14"/>
    </sheetView>
  </sheetViews>
  <sheetFormatPr defaultRowHeight="15" x14ac:dyDescent="0.25"/>
  <cols>
    <col min="1" max="1" width="7" style="35" customWidth="1"/>
    <col min="2" max="3" width="13.5703125" style="35" bestFit="1" customWidth="1"/>
    <col min="4" max="4" width="12.85546875" style="35" customWidth="1"/>
    <col min="5" max="5" width="15.140625" style="35" bestFit="1" customWidth="1"/>
    <col min="6" max="6" width="13.5703125" style="35" customWidth="1"/>
    <col min="7" max="7" width="10" style="35" customWidth="1"/>
    <col min="8" max="8" width="12.85546875" style="35" customWidth="1"/>
    <col min="9" max="9" width="10.42578125" style="35" customWidth="1"/>
    <col min="10" max="10" width="10.85546875" style="35" bestFit="1" customWidth="1"/>
    <col min="11" max="11" width="8.7109375" style="35" customWidth="1"/>
    <col min="12" max="12" width="11.7109375" style="35" customWidth="1"/>
    <col min="13" max="13" width="10.5703125" style="35" customWidth="1"/>
    <col min="14" max="14" width="11.140625" style="35" customWidth="1"/>
    <col min="15" max="15" width="7.5703125" style="35" customWidth="1"/>
    <col min="16" max="16384" width="9.140625" style="35"/>
  </cols>
  <sheetData>
    <row r="1" spans="1:15" x14ac:dyDescent="0.25">
      <c r="A1" s="35" t="s">
        <v>142</v>
      </c>
      <c r="J1" s="185" t="s">
        <v>218</v>
      </c>
    </row>
    <row r="2" spans="1:15" x14ac:dyDescent="0.25">
      <c r="A2" t="s">
        <v>217</v>
      </c>
      <c r="B2"/>
      <c r="C2"/>
      <c r="D2"/>
      <c r="E2"/>
      <c r="F2"/>
    </row>
    <row r="4" spans="1:15" ht="15.75" thickBot="1" x14ac:dyDescent="0.3">
      <c r="A4" s="408" t="s">
        <v>143</v>
      </c>
      <c r="B4" s="409"/>
      <c r="C4" s="410"/>
      <c r="D4" s="411"/>
    </row>
    <row r="5" spans="1:15" ht="30" x14ac:dyDescent="0.25">
      <c r="A5" s="239" t="s">
        <v>127</v>
      </c>
      <c r="B5" s="223" t="s">
        <v>144</v>
      </c>
      <c r="C5" s="224" t="s">
        <v>145</v>
      </c>
      <c r="D5" s="240" t="s">
        <v>128</v>
      </c>
    </row>
    <row r="6" spans="1:15" x14ac:dyDescent="0.25">
      <c r="A6" s="239">
        <v>2016</v>
      </c>
      <c r="B6" s="225">
        <f>2356920+218000+2448405+1573921+162735+85803+11680000</f>
        <v>18525784</v>
      </c>
      <c r="C6" s="226">
        <v>2574920</v>
      </c>
      <c r="D6" s="201">
        <f>C6/B6</f>
        <v>0.1389911487686567</v>
      </c>
    </row>
    <row r="7" spans="1:15" x14ac:dyDescent="0.25">
      <c r="A7" s="239">
        <v>2017</v>
      </c>
      <c r="B7" s="227">
        <f>2192014+217968+1252900+2725000+2214444+149778+4535533+218000+2278750+18425000</f>
        <v>34209387</v>
      </c>
      <c r="C7" s="228">
        <v>2192014</v>
      </c>
      <c r="D7" s="202">
        <f>C7/B7</f>
        <v>6.4076389325538052E-2</v>
      </c>
    </row>
    <row r="8" spans="1:15" ht="15.75" thickBot="1" x14ac:dyDescent="0.3">
      <c r="A8" s="239">
        <v>2018</v>
      </c>
      <c r="B8" s="229">
        <v>36080642</v>
      </c>
      <c r="C8" s="228">
        <v>2406555</v>
      </c>
      <c r="D8" s="202">
        <f>C8/B8</f>
        <v>6.6699339773388738E-2</v>
      </c>
    </row>
    <row r="9" spans="1:15" x14ac:dyDescent="0.25">
      <c r="A9" s="203"/>
      <c r="B9" s="204"/>
      <c r="C9" s="204"/>
      <c r="D9" s="205"/>
    </row>
    <row r="10" spans="1:15" ht="15.75" thickBot="1" x14ac:dyDescent="0.3">
      <c r="A10" s="412" t="s">
        <v>146</v>
      </c>
      <c r="B10" s="412"/>
      <c r="C10" s="412"/>
      <c r="D10" s="413"/>
      <c r="E10" s="413"/>
      <c r="F10" s="412"/>
      <c r="G10" s="412"/>
      <c r="H10" s="413"/>
      <c r="I10" s="413"/>
      <c r="J10" s="412"/>
      <c r="K10" s="412"/>
      <c r="L10" s="413"/>
      <c r="M10" s="413"/>
      <c r="N10" s="412"/>
      <c r="O10" s="412"/>
    </row>
    <row r="11" spans="1:15" ht="100.5" x14ac:dyDescent="0.25">
      <c r="A11" s="230" t="s">
        <v>127</v>
      </c>
      <c r="B11" s="231" t="s">
        <v>216</v>
      </c>
      <c r="C11" s="302" t="s">
        <v>129</v>
      </c>
      <c r="D11" s="301" t="s">
        <v>215</v>
      </c>
      <c r="E11" s="300" t="s">
        <v>147</v>
      </c>
      <c r="F11" s="232" t="s">
        <v>214</v>
      </c>
      <c r="G11" s="299" t="s">
        <v>147</v>
      </c>
      <c r="H11" s="298" t="s">
        <v>213</v>
      </c>
      <c r="I11" s="297" t="s">
        <v>128</v>
      </c>
      <c r="J11" s="232" t="s">
        <v>212</v>
      </c>
      <c r="K11" s="230" t="s">
        <v>128</v>
      </c>
      <c r="L11" s="296" t="s">
        <v>211</v>
      </c>
      <c r="M11" s="295" t="s">
        <v>128</v>
      </c>
      <c r="N11" s="294" t="s">
        <v>211</v>
      </c>
      <c r="O11" s="233" t="s">
        <v>128</v>
      </c>
    </row>
    <row r="12" spans="1:15" x14ac:dyDescent="0.25">
      <c r="A12" s="239">
        <v>2016</v>
      </c>
      <c r="B12" s="225">
        <f>B6</f>
        <v>18525784</v>
      </c>
      <c r="C12" s="293">
        <f>F12+J12+N12</f>
        <v>18525784</v>
      </c>
      <c r="D12" s="292">
        <f>678330+85803+11680000</f>
        <v>12444133</v>
      </c>
      <c r="E12" s="291">
        <f>D12/B12</f>
        <v>0.67171964220245683</v>
      </c>
      <c r="F12" s="280">
        <f>678330+85803+11680000</f>
        <v>12444133</v>
      </c>
      <c r="G12" s="279">
        <f>F12/B12</f>
        <v>0.67171964220245683</v>
      </c>
      <c r="H12" s="290">
        <f>SUM(557121+2448405+1573921+218000+162734+14608)</f>
        <v>4974789</v>
      </c>
      <c r="I12" s="289">
        <f>H12/B12</f>
        <v>0.26853325073853823</v>
      </c>
      <c r="J12" s="280">
        <f>557121+218000+2448405+1573921+162735</f>
        <v>4960182</v>
      </c>
      <c r="K12" s="279">
        <f>J12/B12</f>
        <v>0.26774478208317659</v>
      </c>
      <c r="L12" s="288">
        <v>1121469</v>
      </c>
      <c r="M12" s="287">
        <f>L12/B12</f>
        <v>6.0535575714366525E-2</v>
      </c>
      <c r="N12" s="228">
        <v>1121469</v>
      </c>
      <c r="O12" s="234">
        <f>N12/B12</f>
        <v>6.0535575714366525E-2</v>
      </c>
    </row>
    <row r="13" spans="1:15" x14ac:dyDescent="0.25">
      <c r="A13" s="239">
        <v>2017</v>
      </c>
      <c r="B13" s="227">
        <f>B7</f>
        <v>34209387</v>
      </c>
      <c r="C13" s="293">
        <f>F13+J13+N13</f>
        <v>33882388</v>
      </c>
      <c r="D13" s="292">
        <f>734878+2725000+2214444+4535533+18425000</f>
        <v>28634855</v>
      </c>
      <c r="E13" s="291">
        <f>D13/B13</f>
        <v>0.83704671469266612</v>
      </c>
      <c r="F13" s="280">
        <f>734878+2725000+2214445+4535533+18425000-327000</f>
        <v>28307856</v>
      </c>
      <c r="G13" s="279">
        <f>F13/B13</f>
        <v>0.8274879640491658</v>
      </c>
      <c r="H13" s="290">
        <f>SUM(224213+2278750+1252900+149778+218000+217968)</f>
        <v>4341609</v>
      </c>
      <c r="I13" s="289">
        <f>H13/B13</f>
        <v>0.12691279735588362</v>
      </c>
      <c r="J13" s="280">
        <f>H13</f>
        <v>4341609</v>
      </c>
      <c r="K13" s="279">
        <f>J13/B13</f>
        <v>0.12691279735588362</v>
      </c>
      <c r="L13" s="288">
        <v>1232923</v>
      </c>
      <c r="M13" s="287">
        <f>L13/B13</f>
        <v>3.6040487951450283E-2</v>
      </c>
      <c r="N13" s="228">
        <f>L13</f>
        <v>1232923</v>
      </c>
      <c r="O13" s="234">
        <f>N13/B13</f>
        <v>3.6040487951450283E-2</v>
      </c>
    </row>
    <row r="14" spans="1:15" ht="15.75" thickBot="1" x14ac:dyDescent="0.3">
      <c r="A14" s="239">
        <v>2018</v>
      </c>
      <c r="B14" s="229">
        <f>B8</f>
        <v>36080642</v>
      </c>
      <c r="C14" s="286">
        <v>31526455</v>
      </c>
      <c r="D14" s="285">
        <f>SUM(773638+545000+327000+19410000+8152080)</f>
        <v>29207718</v>
      </c>
      <c r="E14" s="284">
        <f>D14/B14</f>
        <v>0.80951214781599512</v>
      </c>
      <c r="F14" s="283">
        <f>773638+9810000+8152080+831397+99497+4900000+5000000</f>
        <v>29566612</v>
      </c>
      <c r="G14" s="279">
        <f>F14/B14</f>
        <v>0.81945914377022444</v>
      </c>
      <c r="H14" s="282">
        <f>SUM(222360+2574969+1578800+218000+173438+492751)</f>
        <v>5260318</v>
      </c>
      <c r="I14" s="281">
        <f>H14/B14</f>
        <v>0.14579335922016021</v>
      </c>
      <c r="J14" s="280">
        <f>H14</f>
        <v>5260318</v>
      </c>
      <c r="K14" s="279">
        <f>J14/B14</f>
        <v>0.14579335922016021</v>
      </c>
      <c r="L14" s="278">
        <f>1410557+102562</f>
        <v>1513119</v>
      </c>
      <c r="M14" s="277">
        <f>L14/B14</f>
        <v>4.1937141805847025E-2</v>
      </c>
      <c r="N14" s="228">
        <f>L14-81750</f>
        <v>1431369</v>
      </c>
      <c r="O14" s="234">
        <f>N14/B14</f>
        <v>3.967138389610695E-2</v>
      </c>
    </row>
    <row r="15" spans="1:15" x14ac:dyDescent="0.25">
      <c r="A15" s="276" t="s">
        <v>130</v>
      </c>
      <c r="B15" s="275"/>
      <c r="C15" s="204"/>
      <c r="D15" s="204" t="s">
        <v>141</v>
      </c>
      <c r="E15" s="303">
        <f>AVERAGE(E12:E14)</f>
        <v>0.77275950157037265</v>
      </c>
      <c r="F15" s="204" t="s">
        <v>141</v>
      </c>
      <c r="G15" s="303">
        <f>AVERAGE(G12:G14)</f>
        <v>0.7728889166739491</v>
      </c>
      <c r="H15" s="204" t="s">
        <v>141</v>
      </c>
      <c r="I15" s="303">
        <f>AVERAGE(I12:I14)</f>
        <v>0.18041313577152737</v>
      </c>
      <c r="J15" s="204" t="s">
        <v>141</v>
      </c>
      <c r="K15" s="303">
        <f>AVERAGE(K12:K14)</f>
        <v>0.18015031288640682</v>
      </c>
      <c r="L15" s="204" t="s">
        <v>141</v>
      </c>
      <c r="M15" s="303">
        <f>AVERAGE(M12:M14)</f>
        <v>4.6171068490554613E-2</v>
      </c>
      <c r="N15" s="204" t="s">
        <v>141</v>
      </c>
      <c r="O15" s="303">
        <f>AVERAGE(O12:O14)</f>
        <v>4.5415815853974584E-2</v>
      </c>
    </row>
    <row r="17" spans="1:10" x14ac:dyDescent="0.25">
      <c r="A17" s="414" t="s">
        <v>210</v>
      </c>
      <c r="B17" s="415"/>
      <c r="C17" s="415"/>
      <c r="D17" s="415"/>
      <c r="E17" s="416"/>
      <c r="F17"/>
    </row>
    <row r="18" spans="1:10" ht="45" x14ac:dyDescent="0.25">
      <c r="A18" s="186" t="s">
        <v>118</v>
      </c>
      <c r="B18" s="187" t="s">
        <v>119</v>
      </c>
      <c r="C18" s="187" t="s">
        <v>120</v>
      </c>
      <c r="D18" s="188" t="s">
        <v>121</v>
      </c>
      <c r="E18" s="189" t="s">
        <v>122</v>
      </c>
      <c r="F18"/>
    </row>
    <row r="19" spans="1:10" x14ac:dyDescent="0.25">
      <c r="A19" s="186">
        <v>2013</v>
      </c>
      <c r="B19" s="190">
        <v>17295883</v>
      </c>
      <c r="C19" s="190">
        <v>7260783</v>
      </c>
      <c r="D19" s="191">
        <v>10255512</v>
      </c>
      <c r="E19" s="192">
        <f>SUM(B19:D19)</f>
        <v>34812178</v>
      </c>
      <c r="F19" t="s">
        <v>123</v>
      </c>
    </row>
    <row r="20" spans="1:10" x14ac:dyDescent="0.25">
      <c r="A20" s="186">
        <v>2014</v>
      </c>
      <c r="B20" s="190">
        <v>8735059</v>
      </c>
      <c r="C20" s="190">
        <v>7478776</v>
      </c>
      <c r="D20" s="191">
        <v>2273235</v>
      </c>
      <c r="E20" s="192">
        <f t="shared" ref="E20:E24" si="0">SUM(B20:D20)</f>
        <v>18487070</v>
      </c>
      <c r="F20"/>
    </row>
    <row r="21" spans="1:10" x14ac:dyDescent="0.25">
      <c r="A21" s="186">
        <v>2015</v>
      </c>
      <c r="B21" s="193">
        <v>-1452140</v>
      </c>
      <c r="C21" s="193">
        <v>-1983344</v>
      </c>
      <c r="D21" s="197">
        <v>0</v>
      </c>
      <c r="E21" s="194">
        <f t="shared" si="0"/>
        <v>-3435484</v>
      </c>
      <c r="F21"/>
    </row>
    <row r="22" spans="1:10" x14ac:dyDescent="0.25">
      <c r="A22" s="195">
        <v>2016</v>
      </c>
      <c r="B22" s="196">
        <v>11898912</v>
      </c>
      <c r="C22" s="196">
        <v>12780406</v>
      </c>
      <c r="D22" s="197">
        <v>0</v>
      </c>
      <c r="E22" s="198">
        <f t="shared" si="0"/>
        <v>24679318</v>
      </c>
      <c r="F22"/>
    </row>
    <row r="23" spans="1:10" x14ac:dyDescent="0.25">
      <c r="A23" s="195">
        <v>2017</v>
      </c>
      <c r="B23" s="196">
        <v>16751909</v>
      </c>
      <c r="C23" s="196">
        <v>16990407</v>
      </c>
      <c r="D23" s="197">
        <v>0</v>
      </c>
      <c r="E23" s="198">
        <f t="shared" si="0"/>
        <v>33742316</v>
      </c>
      <c r="F23"/>
    </row>
    <row r="24" spans="1:10" x14ac:dyDescent="0.25">
      <c r="A24" s="195">
        <v>2018</v>
      </c>
      <c r="B24" s="196">
        <v>-111994</v>
      </c>
      <c r="C24" s="196">
        <v>-350790</v>
      </c>
      <c r="D24" s="197">
        <v>0</v>
      </c>
      <c r="E24" s="198">
        <f t="shared" si="0"/>
        <v>-462784</v>
      </c>
      <c r="F24" t="s">
        <v>124</v>
      </c>
    </row>
    <row r="25" spans="1:10" ht="15.75" thickBot="1" x14ac:dyDescent="0.3">
      <c r="A25" s="35" t="s">
        <v>125</v>
      </c>
      <c r="B25" s="200"/>
      <c r="C25" s="200"/>
      <c r="D25" s="274" t="s">
        <v>126</v>
      </c>
      <c r="E25" s="273">
        <f>SUM(E19:E24)</f>
        <v>107822614</v>
      </c>
      <c r="F25"/>
    </row>
    <row r="26" spans="1:10" x14ac:dyDescent="0.25">
      <c r="A26" t="s">
        <v>131</v>
      </c>
      <c r="B26"/>
      <c r="C26"/>
      <c r="D26"/>
      <c r="E26"/>
      <c r="F26"/>
      <c r="J26" s="185" t="str">
        <f>J1</f>
        <v xml:space="preserve">as of 10.11.18 </v>
      </c>
    </row>
    <row r="27" spans="1:10" x14ac:dyDescent="0.25">
      <c r="A27" t="s">
        <v>117</v>
      </c>
      <c r="B27"/>
      <c r="C27"/>
      <c r="D27"/>
      <c r="E27"/>
      <c r="F27"/>
    </row>
    <row r="29" spans="1:10" x14ac:dyDescent="0.25">
      <c r="A29" s="414" t="s">
        <v>132</v>
      </c>
      <c r="B29" s="415"/>
      <c r="C29" s="415"/>
      <c r="D29" s="415"/>
      <c r="E29" s="416"/>
      <c r="F29"/>
    </row>
    <row r="30" spans="1:10" ht="30" x14ac:dyDescent="0.25">
      <c r="A30" s="186" t="s">
        <v>118</v>
      </c>
      <c r="B30" s="187" t="s">
        <v>119</v>
      </c>
      <c r="C30" s="187" t="s">
        <v>120</v>
      </c>
      <c r="D30" s="188" t="s">
        <v>121</v>
      </c>
      <c r="E30" s="189" t="s">
        <v>133</v>
      </c>
      <c r="F30"/>
    </row>
    <row r="31" spans="1:10" x14ac:dyDescent="0.25">
      <c r="A31" s="186">
        <v>2013</v>
      </c>
      <c r="B31" s="190">
        <v>100321702</v>
      </c>
      <c r="C31" s="190">
        <v>43767068</v>
      </c>
      <c r="D31" s="191">
        <v>62746780</v>
      </c>
      <c r="E31" s="192">
        <f>SUM(B31:D31)</f>
        <v>206835550</v>
      </c>
      <c r="F31" t="s">
        <v>123</v>
      </c>
    </row>
    <row r="32" spans="1:10" x14ac:dyDescent="0.25">
      <c r="A32" s="186">
        <v>2014</v>
      </c>
      <c r="B32" s="190">
        <v>101902219</v>
      </c>
      <c r="C32" s="190">
        <v>113750247</v>
      </c>
      <c r="D32" s="191">
        <v>102605545</v>
      </c>
      <c r="E32" s="192">
        <f t="shared" ref="E32:E36" si="1">SUM(B32:D32)</f>
        <v>318258011</v>
      </c>
      <c r="F32"/>
    </row>
    <row r="33" spans="1:6" x14ac:dyDescent="0.25">
      <c r="A33" s="186">
        <v>2015</v>
      </c>
      <c r="B33" s="190">
        <v>93545230</v>
      </c>
      <c r="C33" s="190">
        <v>96264245</v>
      </c>
      <c r="D33" s="191">
        <v>0</v>
      </c>
      <c r="E33" s="192">
        <f t="shared" si="1"/>
        <v>189809475</v>
      </c>
      <c r="F33"/>
    </row>
    <row r="34" spans="1:6" x14ac:dyDescent="0.25">
      <c r="A34" s="195">
        <v>2016</v>
      </c>
      <c r="B34" s="196">
        <v>92631066</v>
      </c>
      <c r="C34" s="196">
        <v>108309860</v>
      </c>
      <c r="D34" s="197">
        <v>0</v>
      </c>
      <c r="E34" s="198">
        <f t="shared" si="1"/>
        <v>200940926</v>
      </c>
      <c r="F34"/>
    </row>
    <row r="35" spans="1:6" x14ac:dyDescent="0.25">
      <c r="A35" s="195">
        <v>2017</v>
      </c>
      <c r="B35" s="196">
        <v>104793080</v>
      </c>
      <c r="C35" s="196">
        <v>104737351</v>
      </c>
      <c r="D35" s="197">
        <v>0</v>
      </c>
      <c r="E35" s="198">
        <f t="shared" si="1"/>
        <v>209530431</v>
      </c>
      <c r="F35"/>
    </row>
    <row r="36" spans="1:6" x14ac:dyDescent="0.25">
      <c r="A36" s="195">
        <v>2018</v>
      </c>
      <c r="B36" s="196">
        <v>104499955</v>
      </c>
      <c r="C36" s="196">
        <v>93622151</v>
      </c>
      <c r="D36" s="197">
        <v>0</v>
      </c>
      <c r="E36" s="198">
        <f t="shared" si="1"/>
        <v>198122106</v>
      </c>
      <c r="F36" t="s">
        <v>124</v>
      </c>
    </row>
    <row r="37" spans="1:6" x14ac:dyDescent="0.25">
      <c r="A37" s="35" t="s">
        <v>125</v>
      </c>
    </row>
  </sheetData>
  <sheetProtection password="D297" sheet="1" objects="1" scenarios="1"/>
  <mergeCells count="4">
    <mergeCell ref="A4:D4"/>
    <mergeCell ref="A10:O10"/>
    <mergeCell ref="A17:E17"/>
    <mergeCell ref="A29:E29"/>
  </mergeCells>
  <pageMargins left="0.25" right="0.25" top="0.75" bottom="0.75" header="0.3" footer="0.3"/>
  <pageSetup paperSize="5" orientation="landscape" r:id="rId1"/>
  <headerFooter>
    <oddHeader xml:space="preserve">&amp;CAuthorized Work Plan (WP) to Annual Budget (AB) - Percentage - FY17 - FY19 
</oddHeader>
    <oddFooter>&amp;L&amp;Z&amp;F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F15" sqref="F15"/>
    </sheetView>
  </sheetViews>
  <sheetFormatPr defaultRowHeight="15" x14ac:dyDescent="0.25"/>
  <cols>
    <col min="1" max="1" width="22.28515625" customWidth="1"/>
    <col min="2" max="4" width="18.28515625" customWidth="1"/>
    <col min="5" max="5" width="3.85546875" customWidth="1"/>
    <col min="6" max="8" width="18.28515625" customWidth="1"/>
    <col min="11" max="11" width="13.5703125" bestFit="1" customWidth="1"/>
  </cols>
  <sheetData>
    <row r="1" spans="1:12" x14ac:dyDescent="0.25">
      <c r="B1" s="417" t="s">
        <v>256</v>
      </c>
      <c r="C1" s="417"/>
      <c r="D1" s="417"/>
      <c r="F1" s="417" t="s">
        <v>252</v>
      </c>
      <c r="G1" s="417"/>
      <c r="H1" s="417"/>
    </row>
    <row r="2" spans="1:12" s="179" customFormat="1" x14ac:dyDescent="0.25">
      <c r="A2" s="179" t="s">
        <v>202</v>
      </c>
      <c r="B2" s="41" t="s">
        <v>253</v>
      </c>
      <c r="C2" s="41" t="s">
        <v>254</v>
      </c>
      <c r="D2" s="41" t="s">
        <v>255</v>
      </c>
      <c r="F2" s="41" t="s">
        <v>253</v>
      </c>
      <c r="G2" s="41" t="s">
        <v>254</v>
      </c>
      <c r="H2" s="41" t="s">
        <v>255</v>
      </c>
    </row>
    <row r="3" spans="1:12" x14ac:dyDescent="0.25">
      <c r="A3" t="s">
        <v>201</v>
      </c>
      <c r="B3" s="18">
        <v>117147</v>
      </c>
      <c r="C3" s="18">
        <v>121398</v>
      </c>
      <c r="D3" s="18">
        <v>159117</v>
      </c>
      <c r="E3" s="18"/>
      <c r="F3" s="18">
        <v>116849.2</v>
      </c>
      <c r="G3" s="18">
        <f>121.35*1000</f>
        <v>121350</v>
      </c>
      <c r="H3" s="18">
        <v>159116.9</v>
      </c>
    </row>
    <row r="4" spans="1:12" x14ac:dyDescent="0.25">
      <c r="A4" t="s">
        <v>237</v>
      </c>
      <c r="B4" s="18">
        <v>19000</v>
      </c>
      <c r="C4" s="18">
        <v>36400</v>
      </c>
      <c r="D4" s="18">
        <v>0</v>
      </c>
      <c r="E4" s="18"/>
      <c r="F4" s="18">
        <v>19000</v>
      </c>
      <c r="G4" s="18">
        <f>34.005*1000</f>
        <v>34005</v>
      </c>
      <c r="H4" s="18">
        <v>0</v>
      </c>
    </row>
    <row r="5" spans="1:12" x14ac:dyDescent="0.25">
      <c r="A5" t="s">
        <v>280</v>
      </c>
      <c r="B5" s="18">
        <v>15856</v>
      </c>
      <c r="C5" s="18">
        <v>11916</v>
      </c>
      <c r="D5" s="18">
        <v>0</v>
      </c>
      <c r="E5" s="18"/>
      <c r="F5" s="18">
        <f>'5. FY16-18 Science Budget'!Y9/13</f>
        <v>19553.076923076922</v>
      </c>
      <c r="G5" s="18">
        <f>'5. FY16-18 Science Budget'!Y10/7</f>
        <v>12328.571428571429</v>
      </c>
      <c r="H5" s="18">
        <v>0</v>
      </c>
    </row>
    <row r="6" spans="1:12" x14ac:dyDescent="0.25">
      <c r="A6" t="s">
        <v>154</v>
      </c>
      <c r="B6" s="18">
        <v>12253</v>
      </c>
      <c r="C6" s="18">
        <v>14202</v>
      </c>
      <c r="D6" s="18">
        <v>14321</v>
      </c>
      <c r="E6" s="18"/>
      <c r="F6" s="18">
        <f>12.2562225*1000</f>
        <v>12256.2225</v>
      </c>
      <c r="G6" s="18">
        <f>13.98195*1000</f>
        <v>13981.949999999999</v>
      </c>
      <c r="H6" s="18">
        <v>14320.520999999999</v>
      </c>
    </row>
    <row r="7" spans="1:12" x14ac:dyDescent="0.25">
      <c r="A7" t="s">
        <v>281</v>
      </c>
      <c r="B7" s="18">
        <v>69911</v>
      </c>
      <c r="C7" s="18">
        <v>78278</v>
      </c>
      <c r="D7" s="18">
        <v>73819</v>
      </c>
      <c r="E7" s="18"/>
      <c r="F7" s="18">
        <f>'5. FY16-18 Science Budget'!V9/13</f>
        <v>14928.550904347825</v>
      </c>
      <c r="G7" s="18">
        <f>'5. FY16-18 Science Budget'!V10/7</f>
        <v>14928.550904347825</v>
      </c>
      <c r="H7" s="18">
        <f>'5. FY16-18 Science Budget'!V13</f>
        <v>14928.550904347825</v>
      </c>
    </row>
    <row r="8" spans="1:12" x14ac:dyDescent="0.25">
      <c r="A8" t="s">
        <v>199</v>
      </c>
      <c r="B8" s="18"/>
      <c r="C8" s="18"/>
      <c r="D8" s="18"/>
      <c r="E8" s="18"/>
      <c r="F8" s="18">
        <f>'5. FY16-18 Science Budget'!W9/13</f>
        <v>1443.3580956521739</v>
      </c>
      <c r="G8" s="18">
        <f>'5. FY16-18 Science Budget'!W10/7</f>
        <v>1443.3580956521739</v>
      </c>
      <c r="H8" s="18">
        <f>'5. FY16-18 Science Budget'!W13</f>
        <v>1443.3580956521739</v>
      </c>
    </row>
    <row r="9" spans="1:12" x14ac:dyDescent="0.25">
      <c r="A9" t="s">
        <v>82</v>
      </c>
      <c r="B9" s="18">
        <f>SUM(B3:B8)</f>
        <v>234167</v>
      </c>
      <c r="C9" s="18">
        <f t="shared" ref="C9:D9" si="0">SUM(C3:C8)</f>
        <v>262194</v>
      </c>
      <c r="D9" s="18">
        <f t="shared" si="0"/>
        <v>247257</v>
      </c>
      <c r="E9" s="18"/>
      <c r="F9" s="18">
        <f t="shared" ref="F9:H9" si="1">SUM(F3:F8)</f>
        <v>184030.40842307694</v>
      </c>
      <c r="G9" s="18">
        <f t="shared" si="1"/>
        <v>198037.43042857142</v>
      </c>
      <c r="H9" s="18">
        <f t="shared" si="1"/>
        <v>189809.33</v>
      </c>
      <c r="L9" s="268"/>
    </row>
    <row r="11" spans="1:12" x14ac:dyDescent="0.25">
      <c r="B11" s="417" t="s">
        <v>251</v>
      </c>
      <c r="C11" s="417"/>
      <c r="D11" s="417"/>
      <c r="F11" s="417" t="s">
        <v>252</v>
      </c>
      <c r="G11" s="417"/>
      <c r="H11" s="417"/>
    </row>
    <row r="12" spans="1:12" s="179" customFormat="1" x14ac:dyDescent="0.25">
      <c r="A12" s="179" t="s">
        <v>202</v>
      </c>
      <c r="B12" s="41" t="s">
        <v>253</v>
      </c>
      <c r="C12" s="41" t="s">
        <v>254</v>
      </c>
      <c r="D12" s="41" t="s">
        <v>255</v>
      </c>
      <c r="F12" s="41" t="s">
        <v>253</v>
      </c>
      <c r="G12" s="41" t="s">
        <v>254</v>
      </c>
      <c r="H12" s="41" t="s">
        <v>255</v>
      </c>
    </row>
    <row r="13" spans="1:12" x14ac:dyDescent="0.25">
      <c r="A13" t="s">
        <v>201</v>
      </c>
      <c r="B13" s="267">
        <f>B3/B$9</f>
        <v>0.50027117399121135</v>
      </c>
      <c r="C13" s="267">
        <f t="shared" ref="C13:D13" si="2">C3/C$9</f>
        <v>0.46300830682624317</v>
      </c>
      <c r="D13" s="267">
        <f t="shared" si="2"/>
        <v>0.64352879797134155</v>
      </c>
      <c r="E13" s="267"/>
      <c r="F13" s="267">
        <f t="shared" ref="F13:H13" si="3">F3/F$9</f>
        <v>0.63494506696615804</v>
      </c>
      <c r="G13" s="267">
        <f t="shared" si="3"/>
        <v>0.61276294959688837</v>
      </c>
      <c r="H13" s="267">
        <f t="shared" si="3"/>
        <v>0.83829862314987369</v>
      </c>
    </row>
    <row r="14" spans="1:12" x14ac:dyDescent="0.25">
      <c r="A14" t="s">
        <v>237</v>
      </c>
      <c r="B14" s="267">
        <f t="shared" ref="B14:D18" si="4">B4/B$9</f>
        <v>8.1138674535694608E-2</v>
      </c>
      <c r="C14" s="267">
        <f t="shared" si="4"/>
        <v>0.13882850103358582</v>
      </c>
      <c r="D14" s="267">
        <f t="shared" si="4"/>
        <v>0</v>
      </c>
      <c r="E14" s="267"/>
      <c r="F14" s="267">
        <f t="shared" ref="F14:H14" si="5">F4/F$9</f>
        <v>0.10324380716647613</v>
      </c>
      <c r="G14" s="267">
        <f t="shared" si="5"/>
        <v>0.17170996374983263</v>
      </c>
      <c r="H14" s="267">
        <f t="shared" si="5"/>
        <v>0</v>
      </c>
    </row>
    <row r="15" spans="1:12" x14ac:dyDescent="0.25">
      <c r="A15" t="s">
        <v>280</v>
      </c>
      <c r="B15" s="267">
        <f t="shared" si="4"/>
        <v>6.7712359128314414E-2</v>
      </c>
      <c r="C15" s="267">
        <f t="shared" si="4"/>
        <v>4.5447264239456282E-2</v>
      </c>
      <c r="D15" s="267">
        <f t="shared" si="4"/>
        <v>0</v>
      </c>
      <c r="E15" s="267"/>
      <c r="F15" s="267">
        <f t="shared" ref="F15:H15" si="6">F5/F$9</f>
        <v>0.10624916333460148</v>
      </c>
      <c r="G15" s="267">
        <f t="shared" si="6"/>
        <v>6.2253743657909789E-2</v>
      </c>
      <c r="H15" s="267">
        <f t="shared" si="6"/>
        <v>0</v>
      </c>
    </row>
    <row r="16" spans="1:12" x14ac:dyDescent="0.25">
      <c r="A16" t="s">
        <v>154</v>
      </c>
      <c r="B16" s="267">
        <f t="shared" si="4"/>
        <v>5.2325904162414005E-2</v>
      </c>
      <c r="C16" s="267">
        <f t="shared" si="4"/>
        <v>5.4165999221950159E-2</v>
      </c>
      <c r="D16" s="267">
        <f t="shared" si="4"/>
        <v>5.7919492673614903E-2</v>
      </c>
      <c r="E16" s="267"/>
      <c r="F16" s="267">
        <f t="shared" ref="F16:H16" si="7">F6/F$9</f>
        <v>6.6598898546285576E-2</v>
      </c>
      <c r="G16" s="267">
        <f t="shared" si="7"/>
        <v>7.0602562201204894E-2</v>
      </c>
      <c r="H16" s="267">
        <f t="shared" si="7"/>
        <v>7.5446876083488629E-2</v>
      </c>
    </row>
    <row r="17" spans="1:12" x14ac:dyDescent="0.25">
      <c r="A17" t="s">
        <v>281</v>
      </c>
      <c r="B17" s="267">
        <f t="shared" si="4"/>
        <v>0.29855188818236555</v>
      </c>
      <c r="C17" s="267">
        <f t="shared" si="4"/>
        <v>0.29854992867876456</v>
      </c>
      <c r="D17" s="267">
        <f t="shared" si="4"/>
        <v>0.29855170935504355</v>
      </c>
      <c r="E17" s="267"/>
      <c r="F17" s="267">
        <f t="shared" ref="F17:H17" si="8">F7/F$9</f>
        <v>8.1120022675968934E-2</v>
      </c>
      <c r="G17" s="267">
        <f t="shared" si="8"/>
        <v>7.538247124314354E-2</v>
      </c>
      <c r="H17" s="267">
        <f t="shared" si="8"/>
        <v>7.8650248142953905E-2</v>
      </c>
      <c r="L17" s="268"/>
    </row>
    <row r="18" spans="1:12" x14ac:dyDescent="0.25">
      <c r="A18" t="s">
        <v>199</v>
      </c>
      <c r="B18" s="267">
        <f t="shared" si="4"/>
        <v>0</v>
      </c>
      <c r="C18" s="267">
        <f t="shared" si="4"/>
        <v>0</v>
      </c>
      <c r="D18" s="267">
        <f t="shared" si="4"/>
        <v>0</v>
      </c>
      <c r="E18" s="267"/>
      <c r="F18" s="267">
        <f t="shared" ref="F18:H18" si="9">F8/F$9</f>
        <v>7.8430413105097501E-3</v>
      </c>
      <c r="G18" s="267">
        <f t="shared" si="9"/>
        <v>7.2883095510207982E-3</v>
      </c>
      <c r="H18" s="267">
        <f t="shared" si="9"/>
        <v>7.6042526236838517E-3</v>
      </c>
    </row>
    <row r="19" spans="1:12" x14ac:dyDescent="0.25">
      <c r="A19" t="s">
        <v>203</v>
      </c>
      <c r="B19" s="269">
        <f t="shared" ref="B19:H19" si="10">SUM(B13:B18)</f>
        <v>0.99999999999999989</v>
      </c>
      <c r="C19" s="269">
        <f t="shared" si="10"/>
        <v>1</v>
      </c>
      <c r="D19" s="269">
        <f t="shared" si="10"/>
        <v>1</v>
      </c>
      <c r="E19" s="269"/>
      <c r="F19" s="269">
        <f t="shared" si="10"/>
        <v>0.99999999999999978</v>
      </c>
      <c r="G19" s="269">
        <f t="shared" si="10"/>
        <v>1</v>
      </c>
      <c r="H19" s="269">
        <f t="shared" si="10"/>
        <v>1.0000000000000002</v>
      </c>
    </row>
  </sheetData>
  <sheetProtection password="D297" sheet="1" objects="1" scenarios="1"/>
  <mergeCells count="4">
    <mergeCell ref="B1:D1"/>
    <mergeCell ref="F1:H1"/>
    <mergeCell ref="B11:D11"/>
    <mergeCell ref="F11:H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Worksheet Descriptions</vt:lpstr>
      <vt:lpstr>1. FY16-18 Programs</vt:lpstr>
      <vt:lpstr>2. FY16 Final Budget 18.77.5</vt:lpstr>
      <vt:lpstr>3. FY17 Final Budget 18.77.5</vt:lpstr>
      <vt:lpstr>4. FY18 Budget 18.77.5</vt:lpstr>
      <vt:lpstr>5. FY16-18 Science Budget</vt:lpstr>
      <vt:lpstr>6. FY16-18 Habitat Budget</vt:lpstr>
      <vt:lpstr>7. Budget &amp; Percentage Rates</vt:lpstr>
      <vt:lpstr>8. Examples Science Projects</vt:lpstr>
    </vt:vector>
  </TitlesOfParts>
  <Company>Alaska Dept. of Fish &amp; Game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Shiway W Wang (EVOSTC sponsored)</dc:creator>
  <cp:lastModifiedBy>Shiway W Wang (EVOSTC sponsored)</cp:lastModifiedBy>
  <cp:lastPrinted>2018-11-27T20:10:00Z</cp:lastPrinted>
  <dcterms:created xsi:type="dcterms:W3CDTF">2018-10-01T23:40:42Z</dcterms:created>
  <dcterms:modified xsi:type="dcterms:W3CDTF">2018-12-19T20:44:45Z</dcterms:modified>
</cp:coreProperties>
</file>